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Deals II\Meyer Gage Company\Post-Close Operations\Sales\Pricing\Price Increase_2025-3-17\"/>
    </mc:Choice>
  </mc:AlternateContent>
  <xr:revisionPtr revIDLastSave="0" documentId="13_ncr:1_{96E11B12-BB62-4F44-9E37-8165EAEAE817}" xr6:coauthVersionLast="47" xr6:coauthVersionMax="47" xr10:uidLastSave="{00000000-0000-0000-0000-000000000000}"/>
  <workbookProtection workbookAlgorithmName="SHA-512" workbookHashValue="q7Oikv8NIQ2dH2h7wA0ky86qYvmbuSrNeYfwXBTaAo3Tht337Tsibr2FVxxufXaVk1Zx50ovJc3nEdqlRB9/kg==" workbookSaltValue="MqTrUHBmX2YtEkqQ/18VmA==" workbookSpinCount="100000" lockStructure="1"/>
  <bookViews>
    <workbookView xWindow="-120" yWindow="-120" windowWidth="29040" windowHeight="15720" tabRatio="792" firstSheet="4" activeTab="4" xr2:uid="{653D8586-7A14-4465-AECC-05F8F50005C3}"/>
  </bookViews>
  <sheets>
    <sheet name="TO DO LIST" sheetId="84" state="hidden" r:id="rId1"/>
    <sheet name="Discount Groups" sheetId="77" state="hidden" r:id="rId2"/>
    <sheet name="Ref" sheetId="65" state="hidden" r:id="rId3"/>
    <sheet name="Other Charge Items" sheetId="98" state="hidden" r:id="rId4"/>
    <sheet name="Cover" sheetId="68" r:id="rId5"/>
    <sheet name="1. Calibration Services" sheetId="43" r:id="rId6"/>
    <sheet name="2. Calibration - Z Sets &amp; Libs." sheetId="83" r:id="rId7"/>
    <sheet name="3. Calibration - X Sets &amp; Libs." sheetId="82" r:id="rId8"/>
    <sheet name="4. Individual Pin Gages" sheetId="75" r:id="rId9"/>
    <sheet name="5. Class Z Sets" sheetId="6" r:id="rId10"/>
    <sheet name="6. Class Z Libraries" sheetId="63" r:id="rId11"/>
    <sheet name="7. Class X Sets" sheetId="7" r:id="rId12"/>
    <sheet name="8. Class X Libraries" sheetId="11" r:id="rId13"/>
    <sheet name="9. Class X MG-25 Series" sheetId="91" r:id="rId14"/>
    <sheet name="10. Go-NoGo Assemblies" sheetId="58" r:id="rId15"/>
    <sheet name="11. Class ZZ Custom-Length" sheetId="19" r:id="rId16"/>
    <sheet name="12. Class X Custom-Length" sheetId="76" r:id="rId17"/>
    <sheet name="13. Ring Gages" sheetId="53" r:id="rId18"/>
    <sheet name="14. Taperlocks " sheetId="56" r:id="rId19"/>
    <sheet name="15. Trilocks" sheetId="60" r:id="rId20"/>
    <sheet name="16. Progressives" sheetId="61" r:id="rId21"/>
    <sheet name="17. Master Setting Discs" sheetId="62" r:id="rId22"/>
    <sheet name="18. Handles" sheetId="30" r:id="rId23"/>
    <sheet name="19. Bushings" sheetId="89" r:id="rId24"/>
    <sheet name="20. Accessories" sheetId="31" r:id="rId25"/>
    <sheet name="21. Accessories (cont.)" sheetId="33" r:id="rId26"/>
    <sheet name="22. Black Ox" sheetId="71" r:id="rId27"/>
    <sheet name="23. Black Ox (cont.)" sheetId="94" r:id="rId28"/>
  </sheets>
  <externalReferences>
    <externalReference r:id="rId29"/>
  </externalReferences>
  <definedNames>
    <definedName name="__123Graph_A" localSheetId="14" hidden="1">#REF!</definedName>
    <definedName name="__123Graph_A" localSheetId="21" hidden="1">#REF!</definedName>
    <definedName name="__123Graph_A" localSheetId="6" hidden="1">#REF!</definedName>
    <definedName name="__123Graph_A" localSheetId="26" hidden="1">#REF!</definedName>
    <definedName name="__123Graph_A" localSheetId="27" hidden="1">#REF!</definedName>
    <definedName name="__123Graph_A" localSheetId="7" hidden="1">#REF!</definedName>
    <definedName name="__123Graph_A" localSheetId="8" hidden="1">#REF!</definedName>
    <definedName name="__123Graph_A" localSheetId="13" hidden="1">#REF!</definedName>
    <definedName name="__123Graph_A" hidden="1">#REF!</definedName>
    <definedName name="__123Graph_B" localSheetId="14" hidden="1">#REF!</definedName>
    <definedName name="__123Graph_B" localSheetId="21" hidden="1">#REF!</definedName>
    <definedName name="__123Graph_B" localSheetId="6" hidden="1">#REF!</definedName>
    <definedName name="__123Graph_B" localSheetId="26" hidden="1">#REF!</definedName>
    <definedName name="__123Graph_B" localSheetId="27" hidden="1">#REF!</definedName>
    <definedName name="__123Graph_B" localSheetId="7" hidden="1">#REF!</definedName>
    <definedName name="__123Graph_B" localSheetId="8" hidden="1">#REF!</definedName>
    <definedName name="__123Graph_B" localSheetId="13" hidden="1">#REF!</definedName>
    <definedName name="__123Graph_B" hidden="1">#REF!</definedName>
    <definedName name="__123Graph_C" localSheetId="21" hidden="1">#REF!</definedName>
    <definedName name="__123Graph_C" localSheetId="6" hidden="1">#REF!</definedName>
    <definedName name="__123Graph_C" localSheetId="26" hidden="1">#REF!</definedName>
    <definedName name="__123Graph_C" localSheetId="7" hidden="1">#REF!</definedName>
    <definedName name="__123Graph_C" hidden="1">#REF!</definedName>
    <definedName name="__123Graph_D" localSheetId="21" hidden="1">#REF!</definedName>
    <definedName name="__123Graph_D" localSheetId="6" hidden="1">#REF!</definedName>
    <definedName name="__123Graph_D" localSheetId="7" hidden="1">#REF!</definedName>
    <definedName name="__123Graph_D" hidden="1">#REF!</definedName>
    <definedName name="__123Graph_E" localSheetId="21" hidden="1">#REF!</definedName>
    <definedName name="__123Graph_E" localSheetId="6" hidden="1">#REF!</definedName>
    <definedName name="__123Graph_E" localSheetId="7" hidden="1">#REF!</definedName>
    <definedName name="__123Graph_E" hidden="1">#REF!</definedName>
    <definedName name="__123Graph_F" localSheetId="21" hidden="1">#REF!</definedName>
    <definedName name="__123Graph_F" localSheetId="6" hidden="1">#REF!</definedName>
    <definedName name="__123Graph_F" localSheetId="7" hidden="1">#REF!</definedName>
    <definedName name="__123Graph_F" hidden="1">#REF!</definedName>
    <definedName name="__123Graph_X" localSheetId="21" hidden="1">#REF!</definedName>
    <definedName name="__123Graph_X" localSheetId="6" hidden="1">#REF!</definedName>
    <definedName name="__123Graph_X" localSheetId="7" hidden="1">#REF!</definedName>
    <definedName name="__123Graph_X" hidden="1">#REF!</definedName>
    <definedName name="__flashbackFrom" localSheetId="21" hidden="1">#REF!</definedName>
    <definedName name="__flashbackFrom" localSheetId="6" hidden="1">#REF!</definedName>
    <definedName name="__flashbackFrom" localSheetId="7" hidden="1">#REF!</definedName>
    <definedName name="__flashbackFrom" hidden="1">#REF!</definedName>
    <definedName name="__flashbackTo" localSheetId="21" hidden="1">#REF!</definedName>
    <definedName name="__flashbackTo" localSheetId="6" hidden="1">#REF!</definedName>
    <definedName name="__flashbackTo" localSheetId="7" hidden="1">#REF!</definedName>
    <definedName name="__flashbackTo" hidden="1">#REF!</definedName>
    <definedName name="__IntlFixup" hidden="1">TRUE</definedName>
    <definedName name="__IntlFixupTable" localSheetId="21" hidden="1">#REF!</definedName>
    <definedName name="__IntlFixupTable" localSheetId="6" hidden="1">#REF!</definedName>
    <definedName name="__IntlFixupTable" localSheetId="26" hidden="1">#REF!</definedName>
    <definedName name="__IntlFixupTable" localSheetId="7" hidden="1">#REF!</definedName>
    <definedName name="__IntlFixupTable" localSheetId="8" hidden="1">#REF!</definedName>
    <definedName name="__IntlFixupTable" localSheetId="13" hidden="1">#REF!</definedName>
    <definedName name="__IntlFixupTable" hidden="1">#REF!</definedName>
    <definedName name="_aug14" localSheetId="21">#REF!</definedName>
    <definedName name="_aug14" localSheetId="6">#REF!</definedName>
    <definedName name="_aug14" localSheetId="26">#REF!</definedName>
    <definedName name="_aug14" localSheetId="7">#REF!</definedName>
    <definedName name="_aug14" localSheetId="8">#REF!</definedName>
    <definedName name="_aug14">#REF!</definedName>
    <definedName name="_bdm.12D3DFC78DB140BE8452B119A36FDD74.edm" localSheetId="21" hidden="1">#REF!</definedName>
    <definedName name="_bdm.12D3DFC78DB140BE8452B119A36FDD74.edm" localSheetId="6" hidden="1">#REF!</definedName>
    <definedName name="_bdm.12D3DFC78DB140BE8452B119A36FDD74.edm" localSheetId="26" hidden="1">#REF!</definedName>
    <definedName name="_bdm.12D3DFC78DB140BE8452B119A36FDD74.edm" localSheetId="7" hidden="1">#REF!</definedName>
    <definedName name="_bdm.12D3DFC78DB140BE8452B119A36FDD74.edm" localSheetId="8" hidden="1">#REF!</definedName>
    <definedName name="_bdm.12D3DFC78DB140BE8452B119A36FDD74.edm" hidden="1">#REF!</definedName>
    <definedName name="_bdm.33AAEDC7ACE149FEAE9E9DFE5122EDB3.edm" localSheetId="21" hidden="1">#REF!</definedName>
    <definedName name="_bdm.33AAEDC7ACE149FEAE9E9DFE5122EDB3.edm" localSheetId="6" hidden="1">#REF!</definedName>
    <definedName name="_bdm.33AAEDC7ACE149FEAE9E9DFE5122EDB3.edm" localSheetId="7" hidden="1">#REF!</definedName>
    <definedName name="_bdm.33AAEDC7ACE149FEAE9E9DFE5122EDB3.edm" hidden="1">#REF!</definedName>
    <definedName name="_bdm.3BF02697DA304138918568B20CFDB4B0.edm" localSheetId="21" hidden="1">#REF!</definedName>
    <definedName name="_bdm.3BF02697DA304138918568B20CFDB4B0.edm" localSheetId="6" hidden="1">#REF!</definedName>
    <definedName name="_bdm.3BF02697DA304138918568B20CFDB4B0.edm" localSheetId="7" hidden="1">#REF!</definedName>
    <definedName name="_bdm.3BF02697DA304138918568B20CFDB4B0.edm" hidden="1">#REF!</definedName>
    <definedName name="_bdm.53858AC19DB64104B5273AC102946B37.edm" localSheetId="21" hidden="1">#REF!</definedName>
    <definedName name="_bdm.53858AC19DB64104B5273AC102946B37.edm" localSheetId="6" hidden="1">#REF!</definedName>
    <definedName name="_bdm.53858AC19DB64104B5273AC102946B37.edm" localSheetId="7" hidden="1">#REF!</definedName>
    <definedName name="_bdm.53858AC19DB64104B5273AC102946B37.edm" hidden="1">#REF!</definedName>
    <definedName name="_bdm.693940DB865843CEB1FA0F17A1C91E29.edm" localSheetId="21" hidden="1">#REF!</definedName>
    <definedName name="_bdm.693940DB865843CEB1FA0F17A1C91E29.edm" localSheetId="6" hidden="1">#REF!</definedName>
    <definedName name="_bdm.693940DB865843CEB1FA0F17A1C91E29.edm" localSheetId="7" hidden="1">#REF!</definedName>
    <definedName name="_bdm.693940DB865843CEB1FA0F17A1C91E29.edm" hidden="1">#REF!</definedName>
    <definedName name="_bdm.72EB89E721A1448DBD4A0575D5040E5B.edm" localSheetId="21" hidden="1">#REF!</definedName>
    <definedName name="_bdm.72EB89E721A1448DBD4A0575D5040E5B.edm" localSheetId="6" hidden="1">#REF!</definedName>
    <definedName name="_bdm.72EB89E721A1448DBD4A0575D5040E5B.edm" localSheetId="7" hidden="1">#REF!</definedName>
    <definedName name="_bdm.72EB89E721A1448DBD4A0575D5040E5B.edm" hidden="1">#REF!</definedName>
    <definedName name="_bdm.7E1F869AD2E2493A8E3723BF028DB57F.edm" localSheetId="21" hidden="1">#REF!</definedName>
    <definedName name="_bdm.7E1F869AD2E2493A8E3723BF028DB57F.edm" localSheetId="6" hidden="1">#REF!</definedName>
    <definedName name="_bdm.7E1F869AD2E2493A8E3723BF028DB57F.edm" localSheetId="7" hidden="1">#REF!</definedName>
    <definedName name="_bdm.7E1F869AD2E2493A8E3723BF028DB57F.edm" hidden="1">#REF!</definedName>
    <definedName name="_bdm.A1859D2E6DBB47C4A96DDC21DF00B18C.edm" localSheetId="21" hidden="1">#REF!</definedName>
    <definedName name="_bdm.A1859D2E6DBB47C4A96DDC21DF00B18C.edm" localSheetId="6" hidden="1">#REF!</definedName>
    <definedName name="_bdm.A1859D2E6DBB47C4A96DDC21DF00B18C.edm" localSheetId="7" hidden="1">#REF!</definedName>
    <definedName name="_bdm.A1859D2E6DBB47C4A96DDC21DF00B18C.edm" hidden="1">#REF!</definedName>
    <definedName name="_bdm.AE9DB05639844170A3B334497EDE4213.edm" localSheetId="21" hidden="1">#REF!</definedName>
    <definedName name="_bdm.AE9DB05639844170A3B334497EDE4213.edm" localSheetId="6" hidden="1">#REF!</definedName>
    <definedName name="_bdm.AE9DB05639844170A3B334497EDE4213.edm" localSheetId="7" hidden="1">#REF!</definedName>
    <definedName name="_bdm.AE9DB05639844170A3B334497EDE4213.edm" hidden="1">#REF!</definedName>
    <definedName name="_bdm.BDB3CD82C2DE4655B26CE0194783B2A4.edm" localSheetId="21" hidden="1">#REF!</definedName>
    <definedName name="_bdm.BDB3CD82C2DE4655B26CE0194783B2A4.edm" localSheetId="6" hidden="1">#REF!</definedName>
    <definedName name="_bdm.BDB3CD82C2DE4655B26CE0194783B2A4.edm" localSheetId="7" hidden="1">#REF!</definedName>
    <definedName name="_bdm.BDB3CD82C2DE4655B26CE0194783B2A4.edm" hidden="1">#REF!</definedName>
    <definedName name="_bdm.EDC29D1FE1F344DBAC6A7BE40BFC88FB.edm" localSheetId="21" hidden="1">#REF!</definedName>
    <definedName name="_bdm.EDC29D1FE1F344DBAC6A7BE40BFC88FB.edm" localSheetId="6" hidden="1">#REF!</definedName>
    <definedName name="_bdm.EDC29D1FE1F344DBAC6A7BE40BFC88FB.edm" localSheetId="7" hidden="1">#REF!</definedName>
    <definedName name="_bdm.EDC29D1FE1F344DBAC6A7BE40BFC88FB.edm" hidden="1">#REF!</definedName>
    <definedName name="_bdm.F58B819E41E24C2B99216BCC9154DBD9.edm" localSheetId="21" hidden="1">#REF!</definedName>
    <definedName name="_bdm.F58B819E41E24C2B99216BCC9154DBD9.edm" localSheetId="6" hidden="1">#REF!</definedName>
    <definedName name="_bdm.F58B819E41E24C2B99216BCC9154DBD9.edm" localSheetId="7" hidden="1">#REF!</definedName>
    <definedName name="_bdm.F58B819E41E24C2B99216BCC9154DBD9.edm" hidden="1">#REF!</definedName>
    <definedName name="_bdm.F6AB1E7E95D547DBB2DCB027145A2DB0.edm" localSheetId="21" hidden="1">#REF!</definedName>
    <definedName name="_bdm.F6AB1E7E95D547DBB2DCB027145A2DB0.edm" localSheetId="6" hidden="1">#REF!</definedName>
    <definedName name="_bdm.F6AB1E7E95D547DBB2DCB027145A2DB0.edm" localSheetId="7" hidden="1">#REF!</definedName>
    <definedName name="_bdm.F6AB1E7E95D547DBB2DCB027145A2DB0.edm" hidden="1">#REF!</definedName>
    <definedName name="_bdm.FA4784962DB845C28C35A22EF9035963.edm" localSheetId="21" hidden="1">#REF!</definedName>
    <definedName name="_bdm.FA4784962DB845C28C35A22EF9035963.edm" localSheetId="6" hidden="1">#REF!</definedName>
    <definedName name="_bdm.FA4784962DB845C28C35A22EF9035963.edm" localSheetId="7" hidden="1">#REF!</definedName>
    <definedName name="_bdm.FA4784962DB845C28C35A22EF9035963.edm" hidden="1">#REF!</definedName>
    <definedName name="_Dist_Values" localSheetId="21" hidden="1">#REF!</definedName>
    <definedName name="_Dist_Values" localSheetId="6" hidden="1">#REF!</definedName>
    <definedName name="_Dist_Values" localSheetId="7" hidden="1">#REF!</definedName>
    <definedName name="_Dist_Values" hidden="1">#REF!</definedName>
    <definedName name="_Fill" localSheetId="21" hidden="1">#REF!</definedName>
    <definedName name="_Fill" localSheetId="6" hidden="1">#REF!</definedName>
    <definedName name="_Fill" localSheetId="7" hidden="1">#REF!</definedName>
    <definedName name="_Fill" hidden="1">#REF!</definedName>
    <definedName name="_xlnm._FilterDatabase" localSheetId="14" hidden="1">#REF!</definedName>
    <definedName name="_xlnm._FilterDatabase" localSheetId="21" hidden="1">#REF!</definedName>
    <definedName name="_xlnm._FilterDatabase" localSheetId="6" hidden="1">#REF!</definedName>
    <definedName name="_xlnm._FilterDatabase" localSheetId="27" hidden="1">#REF!</definedName>
    <definedName name="_xlnm._FilterDatabase" localSheetId="7" hidden="1">#REF!</definedName>
    <definedName name="_xlnm._FilterDatabase" localSheetId="8" hidden="1">#REF!</definedName>
    <definedName name="_xlnm._FilterDatabase" localSheetId="13" hidden="1">#REF!</definedName>
    <definedName name="_xlnm._FilterDatabase" localSheetId="1" hidden="1">'Discount Groups'!$B$6:$H$6</definedName>
    <definedName name="_xlnm._FilterDatabase" localSheetId="3" hidden="1">'Other Charge Items'!$B$6:$F$6</definedName>
    <definedName name="_xlnm._FilterDatabase" hidden="1">#REF!</definedName>
    <definedName name="_Key1" localSheetId="14" hidden="1">#REF!</definedName>
    <definedName name="_Key1" localSheetId="21" hidden="1">#REF!</definedName>
    <definedName name="_Key1" localSheetId="6" hidden="1">#REF!</definedName>
    <definedName name="_Key1" localSheetId="27" hidden="1">#REF!</definedName>
    <definedName name="_Key1" localSheetId="7" hidden="1">#REF!</definedName>
    <definedName name="_Key1" localSheetId="8" hidden="1">#REF!</definedName>
    <definedName name="_Key1" localSheetId="13" hidden="1">#REF!</definedName>
    <definedName name="_Key1" hidden="1">#REF!</definedName>
    <definedName name="_Key2" localSheetId="14" hidden="1">#REF!</definedName>
    <definedName name="_Key2" localSheetId="21" hidden="1">#REF!</definedName>
    <definedName name="_Key2" localSheetId="6" hidden="1">#REF!</definedName>
    <definedName name="_Key2" localSheetId="27" hidden="1">#REF!</definedName>
    <definedName name="_Key2" localSheetId="7" hidden="1">#REF!</definedName>
    <definedName name="_Key2" localSheetId="8" hidden="1">#REF!</definedName>
    <definedName name="_Key2" localSheetId="13" hidden="1">#REF!</definedName>
    <definedName name="_Key2" hidden="1">#REF!</definedName>
    <definedName name="_Order1" hidden="1">0</definedName>
    <definedName name="_Order2" hidden="1">255</definedName>
    <definedName name="_Sort" localSheetId="21" hidden="1">#REF!</definedName>
    <definedName name="_Sort" localSheetId="6" hidden="1">#REF!</definedName>
    <definedName name="_Sort" localSheetId="26" hidden="1">#REF!</definedName>
    <definedName name="_Sort" localSheetId="7" hidden="1">#REF!</definedName>
    <definedName name="_Sort" localSheetId="8" hidden="1">#REF!</definedName>
    <definedName name="_Sort" localSheetId="13" hidden="1">#REF!</definedName>
    <definedName name="_Sort" hidden="1">#REF!</definedName>
    <definedName name="_TT0804" localSheetId="21">#REF!</definedName>
    <definedName name="_TT0804" localSheetId="6">#REF!</definedName>
    <definedName name="_TT0804" localSheetId="26">#REF!</definedName>
    <definedName name="_TT0804" localSheetId="7">#REF!</definedName>
    <definedName name="_TT0804" localSheetId="8">#REF!</definedName>
    <definedName name="_TT0804">#REF!</definedName>
    <definedName name="_UNDO_UPS_" localSheetId="21" hidden="1">#REF!</definedName>
    <definedName name="_UNDO_UPS_" localSheetId="6" hidden="1">#REF!</definedName>
    <definedName name="_UNDO_UPS_" localSheetId="26" hidden="1">#REF!</definedName>
    <definedName name="_UNDO_UPS_" localSheetId="7" hidden="1">#REF!</definedName>
    <definedName name="_UNDO_UPS_" localSheetId="8" hidden="1">#REF!</definedName>
    <definedName name="_UNDO_UPS_" hidden="1">#REF!</definedName>
    <definedName name="_UNDO_UPS_SEL_" localSheetId="21" hidden="1">#REF!</definedName>
    <definedName name="_UNDO_UPS_SEL_" localSheetId="6" hidden="1">#REF!</definedName>
    <definedName name="_UNDO_UPS_SEL_" localSheetId="7" hidden="1">#REF!</definedName>
    <definedName name="_UNDO_UPS_SEL_" hidden="1">#REF!</definedName>
    <definedName name="_UNDO31X31X_" localSheetId="21" hidden="1">#REF!</definedName>
    <definedName name="_UNDO31X31X_" localSheetId="6" hidden="1">#REF!</definedName>
    <definedName name="_UNDO31X31X_" localSheetId="7" hidden="1">#REF!</definedName>
    <definedName name="_UNDO31X31X_" hidden="1">#REF!</definedName>
    <definedName name="a_controler_1" localSheetId="21">#REF!</definedName>
    <definedName name="a_controler_1" localSheetId="6">#REF!</definedName>
    <definedName name="a_controler_1" localSheetId="7">#REF!</definedName>
    <definedName name="a_controler_1">#REF!</definedName>
    <definedName name="AA.Report.Files" localSheetId="21" hidden="1">#REF!</definedName>
    <definedName name="AA.Report.Files" localSheetId="6" hidden="1">#REF!</definedName>
    <definedName name="AA.Report.Files" localSheetId="7" hidden="1">#REF!</definedName>
    <definedName name="AA.Report.Files" hidden="1">#REF!</definedName>
    <definedName name="AA.Reports.Available" localSheetId="21" hidden="1">#REF!</definedName>
    <definedName name="AA.Reports.Available" localSheetId="6" hidden="1">#REF!</definedName>
    <definedName name="AA.Reports.Available" localSheetId="7" hidden="1">#REF!</definedName>
    <definedName name="AA.Reports.Available" hidden="1">#REF!</definedName>
    <definedName name="AccessDatabase" hidden="1">"G:\account\96CONSOL\CONSOL.mdb"</definedName>
    <definedName name="Accruals" localSheetId="6">#REF!</definedName>
    <definedName name="Accruals" localSheetId="26">#REF!</definedName>
    <definedName name="Accruals" localSheetId="7">#REF!</definedName>
    <definedName name="Accruals">#REF!</definedName>
    <definedName name="actual042015" localSheetId="21">#REF!</definedName>
    <definedName name="actual042015" localSheetId="6">#REF!</definedName>
    <definedName name="actual042015" localSheetId="26">#REF!</definedName>
    <definedName name="actual042015" localSheetId="7">#REF!</definedName>
    <definedName name="actual042015">#REF!</definedName>
    <definedName name="actuals02242015" localSheetId="21">#REF!</definedName>
    <definedName name="actuals02242015" localSheetId="6">#REF!</definedName>
    <definedName name="actuals02242015" localSheetId="26">#REF!</definedName>
    <definedName name="actuals02242015" localSheetId="7">#REF!</definedName>
    <definedName name="actuals02242015">#REF!</definedName>
    <definedName name="Admin" localSheetId="21">#REF!</definedName>
    <definedName name="Admin" localSheetId="6">#REF!</definedName>
    <definedName name="Admin" localSheetId="7">#REF!</definedName>
    <definedName name="Admin">#REF!</definedName>
    <definedName name="AR" localSheetId="21">#REF!</definedName>
    <definedName name="AR" localSheetId="6">#REF!</definedName>
    <definedName name="AR" localSheetId="7">#REF!</definedName>
    <definedName name="AR">#REF!</definedName>
    <definedName name="AS2DocOpenMode" hidden="1">"AS2DocumentEdit"</definedName>
    <definedName name="AS2HasNoAutoHeaderFooter" hidden="1">" "</definedName>
    <definedName name="AS2NamedRange" hidden="1">6</definedName>
    <definedName name="AS2ReportLS" hidden="1">1</definedName>
    <definedName name="AS2SyncStepLS" hidden="1">0</definedName>
    <definedName name="AS2TickmarkLS" localSheetId="21" hidden="1">#REF!</definedName>
    <definedName name="AS2TickmarkLS" localSheetId="6" hidden="1">#REF!</definedName>
    <definedName name="AS2TickmarkLS" localSheetId="26" hidden="1">#REF!</definedName>
    <definedName name="AS2TickmarkLS" localSheetId="7" hidden="1">#REF!</definedName>
    <definedName name="AS2TickmarkLS" localSheetId="8" hidden="1">#REF!</definedName>
    <definedName name="AS2TickmarkLS" localSheetId="13" hidden="1">#REF!</definedName>
    <definedName name="AS2TickmarkLS" hidden="1">#REF!</definedName>
    <definedName name="AS2VersionLS" hidden="1">300</definedName>
    <definedName name="AsOfDate" localSheetId="21">#REF!</definedName>
    <definedName name="AsOfDate" localSheetId="6">#REF!</definedName>
    <definedName name="AsOfDate" localSheetId="26">#REF!</definedName>
    <definedName name="AsOfDate" localSheetId="7">#REF!</definedName>
    <definedName name="AsOfDate" localSheetId="8">#REF!</definedName>
    <definedName name="AsOfDate">#REF!</definedName>
    <definedName name="Assets_A" localSheetId="21">#REF!</definedName>
    <definedName name="Assets_A" localSheetId="6">#REF!</definedName>
    <definedName name="Assets_A" localSheetId="26">#REF!</definedName>
    <definedName name="Assets_A" localSheetId="7">#REF!</definedName>
    <definedName name="Assets_A">#REF!</definedName>
    <definedName name="Assets_B" localSheetId="21">#REF!</definedName>
    <definedName name="Assets_B" localSheetId="6">#REF!</definedName>
    <definedName name="Assets_B" localSheetId="26">#REF!</definedName>
    <definedName name="Assets_B" localSheetId="7">#REF!</definedName>
    <definedName name="Assets_B">#REF!</definedName>
    <definedName name="bank6120" localSheetId="21">#REF!</definedName>
    <definedName name="bank6120" localSheetId="6">#REF!</definedName>
    <definedName name="bank6120" localSheetId="7">#REF!</definedName>
    <definedName name="bank6120">#REF!</definedName>
    <definedName name="basecount" localSheetId="21">#REF!</definedName>
    <definedName name="basecount" localSheetId="6">#REF!</definedName>
    <definedName name="basecount" localSheetId="7">#REF!</definedName>
    <definedName name="basecount">#REF!</definedName>
    <definedName name="bbb" localSheetId="14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localSheetId="1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localSheetId="18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localSheetId="19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localSheetId="20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localSheetId="21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localSheetId="6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localSheetId="26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localSheetId="2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localSheetId="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localSheetId="8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localSheetId="13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localSheetId="0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Ex3HMSEFOP6DBM4R97XA6B7NFG6" localSheetId="21" hidden="1">#REF!</definedName>
    <definedName name="BEx3HMSEFOP6DBM4R97XA6B7NFG6" localSheetId="6" hidden="1">#REF!</definedName>
    <definedName name="BEx3HMSEFOP6DBM4R97XA6B7NFG6" localSheetId="26" hidden="1">#REF!</definedName>
    <definedName name="BEx3HMSEFOP6DBM4R97XA6B7NFG6" localSheetId="7" hidden="1">#REF!</definedName>
    <definedName name="BEx3HMSEFOP6DBM4R97XA6B7NFG6" localSheetId="8" hidden="1">#REF!</definedName>
    <definedName name="BEx3HMSEFOP6DBM4R97XA6B7NFG6" localSheetId="13" hidden="1">#REF!</definedName>
    <definedName name="BEx3HMSEFOP6DBM4R97XA6B7NFG6" hidden="1">#REF!</definedName>
    <definedName name="BEx90MM3LYEQHP212TVNSOIVDB13" localSheetId="21" hidden="1">#REF!</definedName>
    <definedName name="BEx90MM3LYEQHP212TVNSOIVDB13" localSheetId="6" hidden="1">#REF!</definedName>
    <definedName name="BEx90MM3LYEQHP212TVNSOIVDB13" localSheetId="26" hidden="1">#REF!</definedName>
    <definedName name="BEx90MM3LYEQHP212TVNSOIVDB13" localSheetId="7" hidden="1">#REF!</definedName>
    <definedName name="BEx90MM3LYEQHP212TVNSOIVDB13" localSheetId="8" hidden="1">#REF!</definedName>
    <definedName name="BEx90MM3LYEQHP212TVNSOIVDB13" localSheetId="13" hidden="1">#REF!</definedName>
    <definedName name="BEx90MM3LYEQHP212TVNSOIVDB13" hidden="1">#REF!</definedName>
    <definedName name="BEx91OTVH9ZDBC3QTORU8RZX4EOC" localSheetId="21" hidden="1">#REF!</definedName>
    <definedName name="BEx91OTVH9ZDBC3QTORU8RZX4EOC" localSheetId="6" hidden="1">#REF!</definedName>
    <definedName name="BEx91OTVH9ZDBC3QTORU8RZX4EOC" localSheetId="26" hidden="1">#REF!</definedName>
    <definedName name="BEx91OTVH9ZDBC3QTORU8RZX4EOC" localSheetId="7" hidden="1">#REF!</definedName>
    <definedName name="BEx91OTVH9ZDBC3QTORU8RZX4EOC" localSheetId="8" hidden="1">#REF!</definedName>
    <definedName name="BEx91OTVH9ZDBC3QTORU8RZX4EOC" hidden="1">#REF!</definedName>
    <definedName name="BEx93TJUX3U0FJDBG6DDSNQ91R5J" localSheetId="21" hidden="1">#REF!</definedName>
    <definedName name="BEx93TJUX3U0FJDBG6DDSNQ91R5J" localSheetId="6" hidden="1">#REF!</definedName>
    <definedName name="BEx93TJUX3U0FJDBG6DDSNQ91R5J" localSheetId="7" hidden="1">#REF!</definedName>
    <definedName name="BEx93TJUX3U0FJDBG6DDSNQ91R5J" hidden="1">#REF!</definedName>
    <definedName name="BEx9D1BC9FT19KY0INAABNDBAMR1" localSheetId="21" hidden="1">#REF!</definedName>
    <definedName name="BEx9D1BC9FT19KY0INAABNDBAMR1" localSheetId="6" hidden="1">#REF!</definedName>
    <definedName name="BEx9D1BC9FT19KY0INAABNDBAMR1" localSheetId="7" hidden="1">#REF!</definedName>
    <definedName name="BEx9D1BC9FT19KY0INAABNDBAMR1" hidden="1">#REF!</definedName>
    <definedName name="BExBDBZQLTX3OGFYGULQFK5WEZU5" localSheetId="21" hidden="1">#REF!</definedName>
    <definedName name="BExBDBZQLTX3OGFYGULQFK5WEZU5" localSheetId="6" hidden="1">#REF!</definedName>
    <definedName name="BExBDBZQLTX3OGFYGULQFK5WEZU5" localSheetId="7" hidden="1">#REF!</definedName>
    <definedName name="BExBDBZQLTX3OGFYGULQFK5WEZU5" hidden="1">#REF!</definedName>
    <definedName name="BExD3F368X5S25MWSUNIV57RDB57" localSheetId="21" hidden="1">#REF!</definedName>
    <definedName name="BExD3F368X5S25MWSUNIV57RDB57" localSheetId="6" hidden="1">#REF!</definedName>
    <definedName name="BExD3F368X5S25MWSUNIV57RDB57" localSheetId="7" hidden="1">#REF!</definedName>
    <definedName name="BExD3F368X5S25MWSUNIV57RDB57" hidden="1">#REF!</definedName>
    <definedName name="BExD4JJSS3QDBLABCJCHD45SRNPI" localSheetId="21" hidden="1">#REF!</definedName>
    <definedName name="BExD4JJSS3QDBLABCJCHD45SRNPI" localSheetId="6" hidden="1">#REF!</definedName>
    <definedName name="BExD4JJSS3QDBLABCJCHD45SRNPI" localSheetId="7" hidden="1">#REF!</definedName>
    <definedName name="BExD4JJSS3QDBLABCJCHD45SRNPI" hidden="1">#REF!</definedName>
    <definedName name="BExDBDR1XR0FV0CYUCB2OJ7CJCZU" localSheetId="21" hidden="1">#REF!</definedName>
    <definedName name="BExDBDR1XR0FV0CYUCB2OJ7CJCZU" localSheetId="6" hidden="1">#REF!</definedName>
    <definedName name="BExDBDR1XR0FV0CYUCB2OJ7CJCZU" localSheetId="7" hidden="1">#REF!</definedName>
    <definedName name="BExDBDR1XR0FV0CYUCB2OJ7CJCZU" hidden="1">#REF!</definedName>
    <definedName name="BExF2DYO1WQ7GMXSTAQRDBW1NSFG" localSheetId="21" hidden="1">#REF!</definedName>
    <definedName name="BExF2DYO1WQ7GMXSTAQRDBW1NSFG" localSheetId="6" hidden="1">#REF!</definedName>
    <definedName name="BExF2DYO1WQ7GMXSTAQRDBW1NSFG" localSheetId="7" hidden="1">#REF!</definedName>
    <definedName name="BExF2DYO1WQ7GMXSTAQRDBW1NSFG" hidden="1">#REF!</definedName>
    <definedName name="BExGNSS0CKRPKHO25R3TDBEL2NHX" localSheetId="21" hidden="1">#REF!</definedName>
    <definedName name="BExGNSS0CKRPKHO25R3TDBEL2NHX" localSheetId="6" hidden="1">#REF!</definedName>
    <definedName name="BExGNSS0CKRPKHO25R3TDBEL2NHX" localSheetId="7" hidden="1">#REF!</definedName>
    <definedName name="BExGNSS0CKRPKHO25R3TDBEL2NHX" hidden="1">#REF!</definedName>
    <definedName name="BExGODAZKJ9EXMQZNQR5YDBSS525" localSheetId="21" hidden="1">#REF!</definedName>
    <definedName name="BExGODAZKJ9EXMQZNQR5YDBSS525" localSheetId="6" hidden="1">#REF!</definedName>
    <definedName name="BExGODAZKJ9EXMQZNQR5YDBSS525" localSheetId="7" hidden="1">#REF!</definedName>
    <definedName name="BExGODAZKJ9EXMQZNQR5YDBSS525" hidden="1">#REF!</definedName>
    <definedName name="BExGU6HTKLRZO8UOI3DTAM5RFDBA" localSheetId="21" hidden="1">#REF!</definedName>
    <definedName name="BExGU6HTKLRZO8UOI3DTAM5RFDBA" localSheetId="6" hidden="1">#REF!</definedName>
    <definedName name="BExGU6HTKLRZO8UOI3DTAM5RFDBA" localSheetId="7" hidden="1">#REF!</definedName>
    <definedName name="BExGU6HTKLRZO8UOI3DTAM5RFDBA" hidden="1">#REF!</definedName>
    <definedName name="BExH1FDTQXR9QQ31WDB7OPXU7MPT" localSheetId="21" hidden="1">#REF!</definedName>
    <definedName name="BExH1FDTQXR9QQ31WDB7OPXU7MPT" localSheetId="6" hidden="1">#REF!</definedName>
    <definedName name="BExH1FDTQXR9QQ31WDB7OPXU7MPT" localSheetId="7" hidden="1">#REF!</definedName>
    <definedName name="BExH1FDTQXR9QQ31WDB7OPXU7MPT" hidden="1">#REF!</definedName>
    <definedName name="BExIM9DBUB7ZGF4B20FVUO9QGOX2" localSheetId="21" hidden="1">#REF!</definedName>
    <definedName name="BExIM9DBUB7ZGF4B20FVUO9QGOX2" localSheetId="6" hidden="1">#REF!</definedName>
    <definedName name="BExIM9DBUB7ZGF4B20FVUO9QGOX2" localSheetId="7" hidden="1">#REF!</definedName>
    <definedName name="BExIM9DBUB7ZGF4B20FVUO9QGOX2" hidden="1">#REF!</definedName>
    <definedName name="BExIR8FQETPTQYW37DBVDWG3J4JW" localSheetId="21" hidden="1">#REF!</definedName>
    <definedName name="BExIR8FQETPTQYW37DBVDWG3J4JW" localSheetId="6" hidden="1">#REF!</definedName>
    <definedName name="BExIR8FQETPTQYW37DBVDWG3J4JW" localSheetId="7" hidden="1">#REF!</definedName>
    <definedName name="BExIR8FQETPTQYW37DBVDWG3J4JW" hidden="1">#REF!</definedName>
    <definedName name="BExIWB3SY3WRIVIOF988DNNODBOA" localSheetId="21" hidden="1">#REF!</definedName>
    <definedName name="BExIWB3SY3WRIVIOF988DNNODBOA" localSheetId="6" hidden="1">#REF!</definedName>
    <definedName name="BExIWB3SY3WRIVIOF988DNNODBOA" localSheetId="7" hidden="1">#REF!</definedName>
    <definedName name="BExIWB3SY3WRIVIOF988DNNODBOA" hidden="1">#REF!</definedName>
    <definedName name="BExIX34PM5DBTRHRQWP6PL6WIX88" localSheetId="21" hidden="1">#REF!</definedName>
    <definedName name="BExIX34PM5DBTRHRQWP6PL6WIX88" localSheetId="6" hidden="1">#REF!</definedName>
    <definedName name="BExIX34PM5DBTRHRQWP6PL6WIX88" localSheetId="7" hidden="1">#REF!</definedName>
    <definedName name="BExIX34PM5DBTRHRQWP6PL6WIX88" hidden="1">#REF!</definedName>
    <definedName name="BExKQJGAAWNM3NT19E9I0CQDBTU0" localSheetId="21" hidden="1">#REF!</definedName>
    <definedName name="BExKQJGAAWNM3NT19E9I0CQDBTU0" localSheetId="6" hidden="1">#REF!</definedName>
    <definedName name="BExKQJGAAWNM3NT19E9I0CQDBTU0" localSheetId="7" hidden="1">#REF!</definedName>
    <definedName name="BExKQJGAAWNM3NT19E9I0CQDBTU0" hidden="1">#REF!</definedName>
    <definedName name="BExMCFSQFSEMPY5IXDIRKZDASDBR" localSheetId="21" hidden="1">#REF!</definedName>
    <definedName name="BExMCFSQFSEMPY5IXDIRKZDASDBR" localSheetId="6" hidden="1">#REF!</definedName>
    <definedName name="BExMCFSQFSEMPY5IXDIRKZDASDBR" localSheetId="7" hidden="1">#REF!</definedName>
    <definedName name="BExMCFSQFSEMPY5IXDIRKZDASDBR" hidden="1">#REF!</definedName>
    <definedName name="BExO8UTAGQWDBQZEEF4HUNMLQCVU" localSheetId="21" hidden="1">#REF!</definedName>
    <definedName name="BExO8UTAGQWDBQZEEF4HUNMLQCVU" localSheetId="6" hidden="1">#REF!</definedName>
    <definedName name="BExO8UTAGQWDBQZEEF4HUNMLQCVU" localSheetId="7" hidden="1">#REF!</definedName>
    <definedName name="BExO8UTAGQWDBQZEEF4HUNMLQCVU" hidden="1">#REF!</definedName>
    <definedName name="BExQ8ZCEDBOBJA3D9LDP5TU2WYGR" localSheetId="21" hidden="1">#REF!</definedName>
    <definedName name="BExQ8ZCEDBOBJA3D9LDP5TU2WYGR" localSheetId="6" hidden="1">#REF!</definedName>
    <definedName name="BExQ8ZCEDBOBJA3D9LDP5TU2WYGR" localSheetId="7" hidden="1">#REF!</definedName>
    <definedName name="BExQ8ZCEDBOBJA3D9LDP5TU2WYGR" hidden="1">#REF!</definedName>
    <definedName name="BExQDB6VCHN8PNX8EA6JNIEQ2JC2" localSheetId="21" hidden="1">#REF!</definedName>
    <definedName name="BExQDB6VCHN8PNX8EA6JNIEQ2JC2" localSheetId="6" hidden="1">#REF!</definedName>
    <definedName name="BExQDB6VCHN8PNX8EA6JNIEQ2JC2" localSheetId="7" hidden="1">#REF!</definedName>
    <definedName name="BExQDB6VCHN8PNX8EA6JNIEQ2JC2" hidden="1">#REF!</definedName>
    <definedName name="BExQFC0M9KKFMQKPLPEO2RQDB7MM" localSheetId="21" hidden="1">#REF!</definedName>
    <definedName name="BExQFC0M9KKFMQKPLPEO2RQDB7MM" localSheetId="6" hidden="1">#REF!</definedName>
    <definedName name="BExQFC0M9KKFMQKPLPEO2RQDB7MM" localSheetId="7" hidden="1">#REF!</definedName>
    <definedName name="BExQFC0M9KKFMQKPLPEO2RQDB7MM" hidden="1">#REF!</definedName>
    <definedName name="BExS6WRDBF3ST86ZOBBUL3GTCR11" localSheetId="21" hidden="1">#REF!</definedName>
    <definedName name="BExS6WRDBF3ST86ZOBBUL3GTCR11" localSheetId="6" hidden="1">#REF!</definedName>
    <definedName name="BExS6WRDBF3ST86ZOBBUL3GTCR11" localSheetId="7" hidden="1">#REF!</definedName>
    <definedName name="BExS6WRDBF3ST86ZOBBUL3GTCR11" hidden="1">#REF!</definedName>
    <definedName name="BExTUSQCFFYZCDNHWHADBC2E1ZP1" localSheetId="21" hidden="1">#REF!</definedName>
    <definedName name="BExTUSQCFFYZCDNHWHADBC2E1ZP1" localSheetId="6" hidden="1">#REF!</definedName>
    <definedName name="BExTUSQCFFYZCDNHWHADBC2E1ZP1" localSheetId="7" hidden="1">#REF!</definedName>
    <definedName name="BExTUSQCFFYZCDNHWHADBC2E1ZP1" hidden="1">#REF!</definedName>
    <definedName name="BExUC623BDYEODBN0N4DO6PJQ7NU" localSheetId="21" hidden="1">#REF!</definedName>
    <definedName name="BExUC623BDYEODBN0N4DO6PJQ7NU" localSheetId="6" hidden="1">#REF!</definedName>
    <definedName name="BExUC623BDYEODBN0N4DO6PJQ7NU" localSheetId="7" hidden="1">#REF!</definedName>
    <definedName name="BExUC623BDYEODBN0N4DO6PJQ7NU" hidden="1">#REF!</definedName>
    <definedName name="BExUDBEUJH9IACZDBL1VAUWPG0QW" localSheetId="21" hidden="1">#REF!</definedName>
    <definedName name="BExUDBEUJH9IACZDBL1VAUWPG0QW" localSheetId="6" hidden="1">#REF!</definedName>
    <definedName name="BExUDBEUJH9IACZDBL1VAUWPG0QW" localSheetId="7" hidden="1">#REF!</definedName>
    <definedName name="BExUDBEUJH9IACZDBL1VAUWPG0QW" hidden="1">#REF!</definedName>
    <definedName name="BExVX3XN2DRJKL8EDBIG58RYQ36R" localSheetId="21" hidden="1">#REF!</definedName>
    <definedName name="BExVX3XN2DRJKL8EDBIG58RYQ36R" localSheetId="6" hidden="1">#REF!</definedName>
    <definedName name="BExVX3XN2DRJKL8EDBIG58RYQ36R" localSheetId="7" hidden="1">#REF!</definedName>
    <definedName name="BExVX3XN2DRJKL8EDBIG58RYQ36R" hidden="1">#REF!</definedName>
    <definedName name="BExXXBM521DL8R4ZX7NZ3DBCUOR5" localSheetId="21" hidden="1">#REF!</definedName>
    <definedName name="BExXXBM521DL8R4ZX7NZ3DBCUOR5" localSheetId="6" hidden="1">#REF!</definedName>
    <definedName name="BExXXBM521DL8R4ZX7NZ3DBCUOR5" localSheetId="7" hidden="1">#REF!</definedName>
    <definedName name="BExXXBM521DL8R4ZX7NZ3DBCUOR5" hidden="1">#REF!</definedName>
    <definedName name="BG_Del" hidden="1">15</definedName>
    <definedName name="BG_Ins" hidden="1">4</definedName>
    <definedName name="BG_Mod" hidden="1">6</definedName>
    <definedName name="billratetable" localSheetId="21">#REF!</definedName>
    <definedName name="billratetable" localSheetId="6">#REF!</definedName>
    <definedName name="billratetable" localSheetId="26">#REF!</definedName>
    <definedName name="billratetable" localSheetId="7">#REF!</definedName>
    <definedName name="billratetable">#REF!</definedName>
    <definedName name="BLACK_OX_PIN">'[1]Pin Gages'!$B$67:$B$72</definedName>
    <definedName name="BLACK_OX_ZZ_PIN">#REF!</definedName>
    <definedName name="BONUSCOMMISSIONCOUNT" localSheetId="21">#REF!</definedName>
    <definedName name="BONUSCOMMISSIONCOUNT" localSheetId="6">#REF!</definedName>
    <definedName name="BONUSCOMMISSIONCOUNT" localSheetId="26">#REF!</definedName>
    <definedName name="BONUSCOMMISSIONCOUNT" localSheetId="7">#REF!</definedName>
    <definedName name="BONUSCOMMISSIONCOUNT">#REF!</definedName>
    <definedName name="building_PPA" localSheetId="21">#REF!</definedName>
    <definedName name="building_PPA" localSheetId="6">#REF!</definedName>
    <definedName name="building_PPA" localSheetId="26">#REF!</definedName>
    <definedName name="building_PPA" localSheetId="7">#REF!</definedName>
    <definedName name="building_PPA">#REF!</definedName>
    <definedName name="Building_tax_period" localSheetId="21">#REF!</definedName>
    <definedName name="Building_tax_period" localSheetId="6">#REF!</definedName>
    <definedName name="Building_tax_period" localSheetId="26">#REF!</definedName>
    <definedName name="Building_tax_period" localSheetId="7">#REF!</definedName>
    <definedName name="Building_tax_period">#REF!</definedName>
    <definedName name="buildings_A" localSheetId="21">#REF!</definedName>
    <definedName name="buildings_A" localSheetId="6">#REF!</definedName>
    <definedName name="buildings_A" localSheetId="7">#REF!</definedName>
    <definedName name="buildings_A">#REF!</definedName>
    <definedName name="buildings_B" localSheetId="21">#REF!</definedName>
    <definedName name="buildings_B" localSheetId="6">#REF!</definedName>
    <definedName name="buildings_B" localSheetId="7">#REF!</definedName>
    <definedName name="buildings_B">#REF!</definedName>
    <definedName name="capital_gain_tax" localSheetId="21">#REF!</definedName>
    <definedName name="capital_gain_tax" localSheetId="6">#REF!</definedName>
    <definedName name="capital_gain_tax" localSheetId="7">#REF!</definedName>
    <definedName name="capital_gain_tax">#REF!</definedName>
    <definedName name="CapStructure" localSheetId="21">#REF!</definedName>
    <definedName name="CapStructure" localSheetId="6">#REF!</definedName>
    <definedName name="CapStructure" localSheetId="7">#REF!</definedName>
    <definedName name="CapStructure">#REF!</definedName>
    <definedName name="ccc" localSheetId="14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localSheetId="1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localSheetId="18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localSheetId="19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localSheetId="20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localSheetId="21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localSheetId="6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localSheetId="26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localSheetId="2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localSheetId="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localSheetId="8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localSheetId="13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localSheetId="0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hange" localSheetId="6">#REF!</definedName>
    <definedName name="Change" localSheetId="26">#REF!</definedName>
    <definedName name="Change" localSheetId="7">#REF!</definedName>
    <definedName name="Change">#REF!</definedName>
    <definedName name="ChangeHistory" localSheetId="21">#REF!</definedName>
    <definedName name="ChangeHistory" localSheetId="6">#REF!</definedName>
    <definedName name="ChangeHistory" localSheetId="26">#REF!</definedName>
    <definedName name="ChangeHistory" localSheetId="7">#REF!</definedName>
    <definedName name="ChangeHistory">#REF!</definedName>
    <definedName name="ChangeHistoryName" localSheetId="21">#REF!</definedName>
    <definedName name="ChangeHistoryName" localSheetId="6">#REF!</definedName>
    <definedName name="ChangeHistoryName" localSheetId="26">#REF!</definedName>
    <definedName name="ChangeHistoryName" localSheetId="7">#REF!</definedName>
    <definedName name="ChangeHistoryName">#REF!</definedName>
    <definedName name="checklist" localSheetId="21">#REF!</definedName>
    <definedName name="checklist" localSheetId="6">#REF!</definedName>
    <definedName name="checklist" localSheetId="7">#REF!</definedName>
    <definedName name="checklist">#REF!</definedName>
    <definedName name="checkone" localSheetId="21">#REF!</definedName>
    <definedName name="checkone" localSheetId="6">#REF!</definedName>
    <definedName name="checkone" localSheetId="7">#REF!</definedName>
    <definedName name="checkone">#REF!</definedName>
    <definedName name="CIQWBGuid" hidden="1">"2cd8126d-26c3-430c-b7fa-a069e3a1fc62"</definedName>
    <definedName name="CIRC" localSheetId="6">#REF!</definedName>
    <definedName name="CIRC" localSheetId="26">#REF!</definedName>
    <definedName name="CIRC" localSheetId="7">#REF!</definedName>
    <definedName name="CIRC">#REF!</definedName>
    <definedName name="circuit_breaker" localSheetId="21">#REF!</definedName>
    <definedName name="circuit_breaker" localSheetId="6">#REF!</definedName>
    <definedName name="circuit_breaker" localSheetId="26">#REF!</definedName>
    <definedName name="circuit_breaker" localSheetId="7">#REF!</definedName>
    <definedName name="circuit_breaker">#REF!</definedName>
    <definedName name="Client_Lead" localSheetId="21">#REF!</definedName>
    <definedName name="Client_Lead" localSheetId="6">#REF!</definedName>
    <definedName name="Client_Lead" localSheetId="26">#REF!</definedName>
    <definedName name="Client_Lead" localSheetId="7">#REF!</definedName>
    <definedName name="Client_Lead">#REF!</definedName>
    <definedName name="Client1_lead" localSheetId="21">#REF!</definedName>
    <definedName name="Client1_lead" localSheetId="6">#REF!</definedName>
    <definedName name="Client1_lead" localSheetId="7">#REF!</definedName>
    <definedName name="Client1_lead">#REF!</definedName>
    <definedName name="clientlist" localSheetId="21">#REF!</definedName>
    <definedName name="clientlist" localSheetId="6">#REF!</definedName>
    <definedName name="clientlist" localSheetId="7">#REF!</definedName>
    <definedName name="clientlist">#REF!</definedName>
    <definedName name="closing_date" localSheetId="21">#REF!</definedName>
    <definedName name="closing_date" localSheetId="6">#REF!</definedName>
    <definedName name="closing_date" localSheetId="7">#REF!</definedName>
    <definedName name="closing_date">#REF!</definedName>
    <definedName name="COGSBillable5500" localSheetId="21">#REF!</definedName>
    <definedName name="COGSBillable5500" localSheetId="6">#REF!</definedName>
    <definedName name="COGSBillable5500" localSheetId="7">#REF!</definedName>
    <definedName name="COGSBillable5500">#REF!</definedName>
    <definedName name="cogsloaded5600" localSheetId="21">#REF!</definedName>
    <definedName name="cogsloaded5600" localSheetId="6">#REF!</definedName>
    <definedName name="cogsloaded5600" localSheetId="7">#REF!</definedName>
    <definedName name="cogsloaded5600">#REF!</definedName>
    <definedName name="colocation6100" localSheetId="21">#REF!</definedName>
    <definedName name="colocation6100" localSheetId="6">#REF!</definedName>
    <definedName name="colocation6100" localSheetId="7">#REF!</definedName>
    <definedName name="colocation6100">#REF!</definedName>
    <definedName name="Company_name" localSheetId="21">#REF!</definedName>
    <definedName name="Company_name" localSheetId="6">#REF!</definedName>
    <definedName name="Company_name" localSheetId="7">#REF!</definedName>
    <definedName name="Company_name">#REF!</definedName>
    <definedName name="computers6134" localSheetId="21">#REF!</definedName>
    <definedName name="computers6134" localSheetId="6">#REF!</definedName>
    <definedName name="computers6134" localSheetId="7">#REF!</definedName>
    <definedName name="computers6134">#REF!</definedName>
    <definedName name="costratetable" localSheetId="21">#REF!</definedName>
    <definedName name="costratetable" localSheetId="6">#REF!</definedName>
    <definedName name="costratetable" localSheetId="7">#REF!</definedName>
    <definedName name="costratetable">#REF!</definedName>
    <definedName name="CreatedFor" localSheetId="21">#REF!</definedName>
    <definedName name="CreatedFor" localSheetId="6">#REF!</definedName>
    <definedName name="CreatedFor" localSheetId="7">#REF!</definedName>
    <definedName name="CreatedFor">#REF!</definedName>
    <definedName name="CreatedForTitle" localSheetId="21">#REF!</definedName>
    <definedName name="CreatedForTitle" localSheetId="6">#REF!</definedName>
    <definedName name="CreatedForTitle" localSheetId="7">#REF!</definedName>
    <definedName name="CreatedForTitle">#REF!</definedName>
    <definedName name="Data.Dump" localSheetId="21" hidden="1">OFFSET(#REF!,1,0)</definedName>
    <definedName name="Data.Dump" localSheetId="6" hidden="1">OFFSET(#REF!,1,0)</definedName>
    <definedName name="Data.Dump" localSheetId="26" hidden="1">OFFSET(#REF!,1,0)</definedName>
    <definedName name="Data.Dump" localSheetId="7" hidden="1">OFFSET(#REF!,1,0)</definedName>
    <definedName name="Data.Dump" localSheetId="8" hidden="1">OFFSET(#REF!,1,0)</definedName>
    <definedName name="Data.Dump" localSheetId="13" hidden="1">OFFSET(#REF!,1,0)</definedName>
    <definedName name="Data.Dump" hidden="1">OFFSET(#REF!,1,0)</definedName>
    <definedName name="DATA_01" localSheetId="21" hidden="1">#REF!</definedName>
    <definedName name="DATA_01" localSheetId="6" hidden="1">#REF!</definedName>
    <definedName name="DATA_01" localSheetId="26" hidden="1">#REF!</definedName>
    <definedName name="DATA_01" localSheetId="7" hidden="1">#REF!</definedName>
    <definedName name="DATA_01" localSheetId="8" hidden="1">#REF!</definedName>
    <definedName name="DATA_01" localSheetId="13" hidden="1">#REF!</definedName>
    <definedName name="DATA_01" hidden="1">#REF!</definedName>
    <definedName name="DATA_02" localSheetId="21" hidden="1">#REF!</definedName>
    <definedName name="DATA_02" localSheetId="6" hidden="1">#REF!</definedName>
    <definedName name="DATA_02" localSheetId="26" hidden="1">#REF!</definedName>
    <definedName name="DATA_02" localSheetId="7" hidden="1">#REF!</definedName>
    <definedName name="DATA_02" localSheetId="8" hidden="1">#REF!</definedName>
    <definedName name="DATA_02" localSheetId="13" hidden="1">#REF!</definedName>
    <definedName name="DATA_02" hidden="1">#REF!</definedName>
    <definedName name="DATA_03" localSheetId="21" hidden="1">#REF!</definedName>
    <definedName name="DATA_03" localSheetId="6" hidden="1">#REF!</definedName>
    <definedName name="DATA_03" localSheetId="26" hidden="1">#REF!</definedName>
    <definedName name="DATA_03" localSheetId="7" hidden="1">#REF!</definedName>
    <definedName name="DATA_03" localSheetId="8" hidden="1">#REF!</definedName>
    <definedName name="DATA_03" hidden="1">#REF!</definedName>
    <definedName name="DATA_04" localSheetId="21" hidden="1">#REF!</definedName>
    <definedName name="DATA_04" localSheetId="6" hidden="1">#REF!</definedName>
    <definedName name="DATA_04" localSheetId="7" hidden="1">#REF!</definedName>
    <definedName name="DATA_04" hidden="1">#REF!</definedName>
    <definedName name="DATA_05" localSheetId="21" hidden="1">#REF!</definedName>
    <definedName name="DATA_05" localSheetId="6" hidden="1">#REF!</definedName>
    <definedName name="DATA_05" localSheetId="7" hidden="1">#REF!</definedName>
    <definedName name="DATA_05" hidden="1">#REF!</definedName>
    <definedName name="DATA_06" localSheetId="21" hidden="1">#REF!</definedName>
    <definedName name="DATA_06" localSheetId="6" hidden="1">#REF!</definedName>
    <definedName name="DATA_06" localSheetId="7" hidden="1">#REF!</definedName>
    <definedName name="DATA_06" hidden="1">#REF!</definedName>
    <definedName name="DATA_07" localSheetId="21" hidden="1">#REF!</definedName>
    <definedName name="DATA_07" localSheetId="6" hidden="1">#REF!</definedName>
    <definedName name="DATA_07" localSheetId="7" hidden="1">#REF!</definedName>
    <definedName name="DATA_07" hidden="1">#REF!</definedName>
    <definedName name="DATA_08" localSheetId="21" hidden="1">#REF!</definedName>
    <definedName name="DATA_08" localSheetId="6" hidden="1">#REF!</definedName>
    <definedName name="DATA_08" localSheetId="7" hidden="1">#REF!</definedName>
    <definedName name="DATA_08" hidden="1">#REF!</definedName>
    <definedName name="data1" localSheetId="21" hidden="1">#REF!</definedName>
    <definedName name="data1" localSheetId="6" hidden="1">#REF!</definedName>
    <definedName name="data1" localSheetId="7" hidden="1">#REF!</definedName>
    <definedName name="data1" hidden="1">#REF!</definedName>
    <definedName name="data2" localSheetId="21" hidden="1">#REF!</definedName>
    <definedName name="data2" localSheetId="6" hidden="1">#REF!</definedName>
    <definedName name="data2" localSheetId="7" hidden="1">#REF!</definedName>
    <definedName name="data2" hidden="1">#REF!</definedName>
    <definedName name="data3" localSheetId="21" hidden="1">#REF!</definedName>
    <definedName name="data3" localSheetId="6" hidden="1">#REF!</definedName>
    <definedName name="data3" localSheetId="7" hidden="1">#REF!</definedName>
    <definedName name="data3" hidden="1">#REF!</definedName>
    <definedName name="Database.File" localSheetId="21" hidden="1">#REF!</definedName>
    <definedName name="Database.File" localSheetId="6" hidden="1">#REF!</definedName>
    <definedName name="Database.File" localSheetId="7" hidden="1">#REF!</definedName>
    <definedName name="Database.File" hidden="1">#REF!</definedName>
    <definedName name="DENTALNAME" localSheetId="21">#REF!</definedName>
    <definedName name="DENTALNAME" localSheetId="6">#REF!</definedName>
    <definedName name="DENTALNAME" localSheetId="7">#REF!</definedName>
    <definedName name="DENTALNAME">#REF!</definedName>
    <definedName name="DigitalSales_LTI_Mix" localSheetId="21">#REF!</definedName>
    <definedName name="DigitalSales_LTI_Mix" localSheetId="6">#REF!</definedName>
    <definedName name="DigitalSales_LTI_Mix" localSheetId="7">#REF!</definedName>
    <definedName name="DigitalSales_LTI_Mix">#REF!</definedName>
    <definedName name="DigitalSales_table" localSheetId="21">#REF!</definedName>
    <definedName name="DigitalSales_table" localSheetId="6">#REF!</definedName>
    <definedName name="DigitalSales_table" localSheetId="7">#REF!</definedName>
    <definedName name="DigitalSales_table">#REF!</definedName>
    <definedName name="DigitalSales_table_LTI" localSheetId="21">#REF!</definedName>
    <definedName name="DigitalSales_table_LTI" localSheetId="6">#REF!</definedName>
    <definedName name="DigitalSales_table_LTI" localSheetId="7">#REF!</definedName>
    <definedName name="DigitalSales_table_LTI">#REF!</definedName>
    <definedName name="Discount" localSheetId="21" hidden="1">#REF!</definedName>
    <definedName name="Discount" localSheetId="6" hidden="1">#REF!</definedName>
    <definedName name="Discount" localSheetId="7" hidden="1">#REF!</definedName>
    <definedName name="Discount" hidden="1">#REF!</definedName>
    <definedName name="display_area_2" localSheetId="21" hidden="1">#REF!</definedName>
    <definedName name="display_area_2" localSheetId="6" hidden="1">#REF!</definedName>
    <definedName name="display_area_2" localSheetId="7" hidden="1">#REF!</definedName>
    <definedName name="display_area_2" hidden="1">#REF!</definedName>
    <definedName name="divisor" localSheetId="21">#REF!</definedName>
    <definedName name="divisor" localSheetId="6">#REF!</definedName>
    <definedName name="divisor" localSheetId="7">#REF!</definedName>
    <definedName name="divisor">#REF!</definedName>
    <definedName name="duessubscriptions6160" localSheetId="21">#REF!</definedName>
    <definedName name="duessubscriptions6160" localSheetId="6">#REF!</definedName>
    <definedName name="duessubscriptions6160" localSheetId="7">#REF!</definedName>
    <definedName name="duessubscriptions6160">#REF!</definedName>
    <definedName name="EBITDA_Table" localSheetId="21">#REF!</definedName>
    <definedName name="EBITDA_Table" localSheetId="6">#REF!</definedName>
    <definedName name="EBITDA_Table" localSheetId="7">#REF!</definedName>
    <definedName name="EBITDA_Table">#REF!</definedName>
    <definedName name="eefgrey" localSheetId="21" hidden="1">#REF!</definedName>
    <definedName name="eefgrey" localSheetId="6" hidden="1">#REF!</definedName>
    <definedName name="eefgrey" localSheetId="7" hidden="1">#REF!</definedName>
    <definedName name="eefgrey" hidden="1">#REF!</definedName>
    <definedName name="Error" localSheetId="21">#REF!</definedName>
    <definedName name="Error" localSheetId="6">#REF!</definedName>
    <definedName name="Error" localSheetId="7">#REF!</definedName>
    <definedName name="Error">#REF!</definedName>
    <definedName name="exit_year" localSheetId="21">#REF!</definedName>
    <definedName name="exit_year" localSheetId="6">#REF!</definedName>
    <definedName name="exit_year" localSheetId="7">#REF!</definedName>
    <definedName name="exit_year">#REF!</definedName>
    <definedName name="FCF_LTI_Mix" localSheetId="21">#REF!</definedName>
    <definedName name="FCF_LTI_Mix" localSheetId="6">#REF!</definedName>
    <definedName name="FCF_LTI_Mix" localSheetId="7">#REF!</definedName>
    <definedName name="FCF_LTI_Mix">#REF!</definedName>
    <definedName name="FCF_Table" localSheetId="21">#REF!</definedName>
    <definedName name="FCF_Table" localSheetId="6">#REF!</definedName>
    <definedName name="FCF_Table" localSheetId="7">#REF!</definedName>
    <definedName name="FCF_Table">#REF!</definedName>
    <definedName name="FCF_Table_LTI" localSheetId="21">#REF!</definedName>
    <definedName name="FCF_Table_LTI" localSheetId="6">#REF!</definedName>
    <definedName name="FCF_Table_LTI" localSheetId="7">#REF!</definedName>
    <definedName name="FCF_Table_LTI">#REF!</definedName>
    <definedName name="FCode" localSheetId="21" hidden="1">#REF!</definedName>
    <definedName name="FCode" localSheetId="6" hidden="1">#REF!</definedName>
    <definedName name="FCode" localSheetId="7" hidden="1">#REF!</definedName>
    <definedName name="FCode" hidden="1">#REF!</definedName>
    <definedName name="FcstToggle" localSheetId="21">#REF!</definedName>
    <definedName name="FcstToggle" localSheetId="6">#REF!</definedName>
    <definedName name="FcstToggle" localSheetId="7">#REF!</definedName>
    <definedName name="FcstToggle">#REF!</definedName>
    <definedName name="FEDUNEMPLOYCOUNT" localSheetId="21">#REF!</definedName>
    <definedName name="FEDUNEMPLOYCOUNT" localSheetId="6">#REF!</definedName>
    <definedName name="FEDUNEMPLOYCOUNT" localSheetId="7">#REF!</definedName>
    <definedName name="FEDUNEMPLOYCOUNT">#REF!</definedName>
    <definedName name="FICAMEDICARESS" localSheetId="21">#REF!</definedName>
    <definedName name="FICAMEDICARESS" localSheetId="6">#REF!</definedName>
    <definedName name="FICAMEDICARESS" localSheetId="7">#REF!</definedName>
    <definedName name="FICAMEDICARESS">#REF!</definedName>
    <definedName name="FICASSCOUNT" localSheetId="21">#REF!</definedName>
    <definedName name="FICASSCOUNT" localSheetId="6">#REF!</definedName>
    <definedName name="FICASSCOUNT" localSheetId="7">#REF!</definedName>
    <definedName name="FICASSCOUNT">#REF!</definedName>
    <definedName name="File.Type" localSheetId="21" hidden="1">#REF!</definedName>
    <definedName name="File.Type" localSheetId="6" hidden="1">#REF!</definedName>
    <definedName name="File.Type" localSheetId="7" hidden="1">#REF!</definedName>
    <definedName name="File.Type" hidden="1">#REF!</definedName>
    <definedName name="fILL" localSheetId="21" hidden="1">#REF!</definedName>
    <definedName name="fILL" localSheetId="6" hidden="1">#REF!</definedName>
    <definedName name="fILL" localSheetId="7" hidden="1">#REF!</definedName>
    <definedName name="fILL" hidden="1">#REF!</definedName>
    <definedName name="Filled" localSheetId="21">#REF!</definedName>
    <definedName name="Filled" localSheetId="6">#REF!</definedName>
    <definedName name="Filled" localSheetId="7">#REF!</definedName>
    <definedName name="Filled">#REF!</definedName>
    <definedName name="FOXCHASECANCERCENTER" localSheetId="21">OFFSET(#REF!,0,0,COUNTA(#REF!),17)</definedName>
    <definedName name="FOXCHASECANCERCENTER" localSheetId="6">OFFSET(#REF!,0,0,COUNTA(#REF!),17)</definedName>
    <definedName name="FOXCHASECANCERCENTER" localSheetId="26">OFFSET(#REF!,0,0,COUNTA(#REF!),17)</definedName>
    <definedName name="FOXCHASECANCERCENTER" localSheetId="7">OFFSET(#REF!,0,0,COUNTA(#REF!),17)</definedName>
    <definedName name="FOXCHASECANCERCENTER">OFFSET(#REF!,0,0,COUNTA(#REF!),17)</definedName>
    <definedName name="ftecount" localSheetId="21">#REF!</definedName>
    <definedName name="ftecount" localSheetId="6">#REF!</definedName>
    <definedName name="ftecount" localSheetId="26">#REF!</definedName>
    <definedName name="ftecount" localSheetId="7">#REF!</definedName>
    <definedName name="ftecount">#REF!</definedName>
    <definedName name="fv_adjustments" localSheetId="21">#REF!</definedName>
    <definedName name="fv_adjustments" localSheetId="6">#REF!</definedName>
    <definedName name="fv_adjustments" localSheetId="26">#REF!</definedName>
    <definedName name="fv_adjustments" localSheetId="7">#REF!</definedName>
    <definedName name="fv_adjustments">#REF!</definedName>
    <definedName name="FYE" localSheetId="21">#REF!</definedName>
    <definedName name="FYE" localSheetId="6">#REF!</definedName>
    <definedName name="FYE" localSheetId="26">#REF!</definedName>
    <definedName name="FYE" localSheetId="7">#REF!</definedName>
    <definedName name="FYE">#REF!</definedName>
    <definedName name="HEALTHCOUNT" localSheetId="21">#REF!</definedName>
    <definedName name="HEALTHCOUNT" localSheetId="6">#REF!</definedName>
    <definedName name="HEALTHCOUNT" localSheetId="7">#REF!</definedName>
    <definedName name="HEALTHCOUNT">#REF!</definedName>
    <definedName name="HFMACCT" localSheetId="21">#REF!</definedName>
    <definedName name="HFMACCT" localSheetId="6">#REF!</definedName>
    <definedName name="HFMACCT" localSheetId="7">#REF!</definedName>
    <definedName name="HFMACCT">#REF!</definedName>
    <definedName name="HiddenRows" localSheetId="21" hidden="1">#REF!</definedName>
    <definedName name="HiddenRows" localSheetId="6" hidden="1">#REF!</definedName>
    <definedName name="HiddenRows" localSheetId="7" hidden="1">#REF!</definedName>
    <definedName name="HiddenRows" hidden="1">#REF!</definedName>
    <definedName name="HTML_CodePage" hidden="1">1252</definedName>
    <definedName name="HTML_Control" localSheetId="14" hidden="1">{"'Leverage'!$B$2:$M$418"}</definedName>
    <definedName name="HTML_Control" localSheetId="17" hidden="1">{"'Leverage'!$B$2:$M$418"}</definedName>
    <definedName name="HTML_Control" localSheetId="18" hidden="1">{"'Leverage'!$B$2:$M$418"}</definedName>
    <definedName name="HTML_Control" localSheetId="19" hidden="1">{"'Leverage'!$B$2:$M$418"}</definedName>
    <definedName name="HTML_Control" localSheetId="20" hidden="1">{"'Leverage'!$B$2:$M$418"}</definedName>
    <definedName name="HTML_Control" localSheetId="21" hidden="1">{"'Leverage'!$B$2:$M$418"}</definedName>
    <definedName name="HTML_Control" localSheetId="6" hidden="1">{"'Leverage'!$B$2:$M$418"}</definedName>
    <definedName name="HTML_Control" localSheetId="26" hidden="1">{"'Leverage'!$B$2:$M$418"}</definedName>
    <definedName name="HTML_Control" localSheetId="27" hidden="1">{"'Leverage'!$B$2:$M$418"}</definedName>
    <definedName name="HTML_Control" localSheetId="7" hidden="1">{"'Leverage'!$B$2:$M$418"}</definedName>
    <definedName name="HTML_Control" localSheetId="8" hidden="1">{"'Leverage'!$B$2:$M$418"}</definedName>
    <definedName name="HTML_Control" localSheetId="13" hidden="1">{"'Leverage'!$B$2:$M$418"}</definedName>
    <definedName name="HTML_Control" localSheetId="0" hidden="1">{"'Leverage'!$B$2:$M$418"}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HTML1_1" hidden="1">"[TB9.XLS]St_tot_94_95!$A$1:$J$428"</definedName>
    <definedName name="HTML1_10" hidden="1">""</definedName>
    <definedName name="HTML1_11" hidden="1">1</definedName>
    <definedName name="HTML1_12" hidden="1">"F:\USERS\ECON\Census95\Int\T9ST.htm"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"2/17/98"</definedName>
    <definedName name="HTML1_9" hidden="1">"BPH"</definedName>
    <definedName name="HTML2_1" hidden="1">"[TB9.XLS]St_tot_94_95!$A$1:$J$427"</definedName>
    <definedName name="HTML2_10" hidden="1">""</definedName>
    <definedName name="HTML2_11" hidden="1">1</definedName>
    <definedName name="HTML2_12" hidden="1">"F:\USERS\ECON\Census95\Int\T9ST.htm"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"2/17/98"</definedName>
    <definedName name="HTML2_9" hidden="1">"BPH"</definedName>
    <definedName name="HTML3_1" hidden="1">"[TB9.XLS]St_tot_94_95!$A$1:$H$427"</definedName>
    <definedName name="HTML3_10" hidden="1">""</definedName>
    <definedName name="HTML3_11" hidden="1">1</definedName>
    <definedName name="HTML3_12" hidden="1">"F:\USERS\ECON\Census95\Int\T9st.htm"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"2/17/98"</definedName>
    <definedName name="HTML3_9" hidden="1">"BPH"</definedName>
    <definedName name="HTMLCount" hidden="1">3</definedName>
    <definedName name="IDN" localSheetId="6">#REF!</definedName>
    <definedName name="IDN" localSheetId="26">#REF!</definedName>
    <definedName name="IDN" localSheetId="7">#REF!</definedName>
    <definedName name="IDN">#REF!</definedName>
    <definedName name="ILUNEMPLOYCOUNT" localSheetId="21">#REF!</definedName>
    <definedName name="ILUNEMPLOYCOUNT" localSheetId="6">#REF!</definedName>
    <definedName name="ILUNEMPLOYCOUNT" localSheetId="26">#REF!</definedName>
    <definedName name="ILUNEMPLOYCOUNT" localSheetId="7">#REF!</definedName>
    <definedName name="ILUNEMPLOYCOUNT">#REF!</definedName>
    <definedName name="IncDiv01" localSheetId="21">#REF!</definedName>
    <definedName name="IncDiv01" localSheetId="6">#REF!</definedName>
    <definedName name="IncDiv01" localSheetId="26">#REF!</definedName>
    <definedName name="IncDiv01" localSheetId="7">#REF!</definedName>
    <definedName name="IncDiv01">#REF!</definedName>
    <definedName name="insurance6180" localSheetId="21">#REF!</definedName>
    <definedName name="insurance6180" localSheetId="6">#REF!</definedName>
    <definedName name="insurance6180" localSheetId="7">#REF!</definedName>
    <definedName name="insurance6180">#REF!</definedName>
    <definedName name="Integrated" localSheetId="21">#REF!</definedName>
    <definedName name="Integrated" localSheetId="6">#REF!</definedName>
    <definedName name="Integrated" localSheetId="7">#REF!</definedName>
    <definedName name="Integrated">#REF!</definedName>
    <definedName name="interestincome7010" localSheetId="21">#REF!</definedName>
    <definedName name="interestincome7010" localSheetId="6">#REF!</definedName>
    <definedName name="interestincome7010" localSheetId="7">#REF!</definedName>
    <definedName name="interestincome7010">#REF!</definedName>
    <definedName name="IntroPrintArea" localSheetId="14" hidden="1">#REF!</definedName>
    <definedName name="IntroPrintArea" localSheetId="21" hidden="1">#REF!</definedName>
    <definedName name="IntroPrintArea" localSheetId="6" hidden="1">#REF!</definedName>
    <definedName name="IntroPrintArea" localSheetId="27" hidden="1">#REF!</definedName>
    <definedName name="IntroPrintArea" localSheetId="7" hidden="1">#REF!</definedName>
    <definedName name="IntroPrintArea" localSheetId="13" hidden="1">#REF!</definedName>
    <definedName name="IntroPrintArea" hidden="1">#REF!</definedName>
    <definedName name="inventory" localSheetId="21">#REF!</definedName>
    <definedName name="inventory" localSheetId="6">#REF!</definedName>
    <definedName name="inventory" localSheetId="7">#REF!</definedName>
    <definedName name="inventory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PS" hidden="1">"IQ_EPS"</definedName>
    <definedName name="IQ_EXTRA_ACC_ITEMS_BR" hidden="1">"c412"</definedName>
    <definedName name="IQ_FH" hidden="1">100000</definedName>
    <definedName name="IQ_FQ" hidden="1">500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40218.8268634259</definedName>
    <definedName name="IQ_NAV_ACT_OR_EST" hidden="1">"c2225"</definedName>
    <definedName name="IQ_NET_DEBT_ISSUED_BR" hidden="1">"c753"</definedName>
    <definedName name="IQ_NET_INT_INC_BR" hidden="1">"c765"</definedName>
    <definedName name="IQ_NTM" hidden="1">6000</definedName>
    <definedName name="IQ_OG_TOTAL_OIL_PRODUCTON" hidden="1">"c2059"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REF_ISSUED_BR" hidden="1">"c1047"</definedName>
    <definedName name="IQ_PREF_OTHER_BR" hidden="1">"c1055"</definedName>
    <definedName name="IQ_PREF_REP_BR" hidden="1">"c1062"</definedName>
    <definedName name="IQ_PRICEDATETIME" hidden="1">"IQ_PRICEDATETIME"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K401KCOUNT" localSheetId="6">#REF!</definedName>
    <definedName name="K401KCOUNT" localSheetId="26">#REF!</definedName>
    <definedName name="K401KCOUNT" localSheetId="7">#REF!</definedName>
    <definedName name="K401KCOUNT">#REF!</definedName>
    <definedName name="kec" localSheetId="14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localSheetId="17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localSheetId="18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localSheetId="19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localSheetId="20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localSheetId="21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localSheetId="6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localSheetId="26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localSheetId="27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localSheetId="7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localSheetId="8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localSheetId="13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localSheetId="0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land_A" localSheetId="6">#REF!</definedName>
    <definedName name="land_A" localSheetId="26">#REF!</definedName>
    <definedName name="land_A" localSheetId="7">#REF!</definedName>
    <definedName name="land_A">#REF!</definedName>
    <definedName name="land_B" localSheetId="21">#REF!</definedName>
    <definedName name="land_B" localSheetId="6">#REF!</definedName>
    <definedName name="land_B" localSheetId="26">#REF!</definedName>
    <definedName name="land_B" localSheetId="7">#REF!</definedName>
    <definedName name="land_B">#REF!</definedName>
    <definedName name="land_ppa" localSheetId="21">#REF!</definedName>
    <definedName name="land_ppa" localSheetId="6">#REF!</definedName>
    <definedName name="land_ppa" localSheetId="26">#REF!</definedName>
    <definedName name="land_ppa" localSheetId="7">#REF!</definedName>
    <definedName name="land_ppa">#REF!</definedName>
    <definedName name="Last_FYE" localSheetId="21">#REF!</definedName>
    <definedName name="Last_FYE" localSheetId="6">#REF!</definedName>
    <definedName name="Last_FYE" localSheetId="7">#REF!</definedName>
    <definedName name="Last_FYE">#REF!</definedName>
    <definedName name="last_update" localSheetId="21">#REF!</definedName>
    <definedName name="last_update" localSheetId="6">#REF!</definedName>
    <definedName name="last_update" localSheetId="7">#REF!</definedName>
    <definedName name="last_update">#REF!</definedName>
    <definedName name="libre" localSheetId="21">#REF!,#REF!</definedName>
    <definedName name="libre" localSheetId="6">#REF!,#REF!</definedName>
    <definedName name="libre" localSheetId="26">#REF!,#REF!</definedName>
    <definedName name="libre" localSheetId="7">#REF!,#REF!</definedName>
    <definedName name="libre" localSheetId="8">#REF!,#REF!</definedName>
    <definedName name="libre">#REF!,#REF!</definedName>
    <definedName name="licensesandpermits6230" localSheetId="21">#REF!</definedName>
    <definedName name="licensesandpermits6230" localSheetId="6">#REF!</definedName>
    <definedName name="licensesandpermits6230" localSheetId="26">#REF!</definedName>
    <definedName name="licensesandpermits6230" localSheetId="7">#REF!</definedName>
    <definedName name="licensesandpermits6230" localSheetId="8">#REF!</definedName>
    <definedName name="licensesandpermits6230">#REF!</definedName>
    <definedName name="lignes_en_fin">1</definedName>
    <definedName name="lignes_en_tete">7</definedName>
    <definedName name="lignes_utiles">18</definedName>
    <definedName name="liste_cloture" localSheetId="21">#REF!,#REF!,#REF!,#REF!,#REF!,#REF!,#REF!,#REF!,#REF!,#REF!,#REF!,#REF!,#REF!,#REF!,#REF!,#REF!,#REF!,#REF!,#REF!,#REF!,#REF!,#REF!,#REF!,#REF!,#REF!,#REF!,#REF!,#REF!</definedName>
    <definedName name="liste_cloture" localSheetId="6">#REF!,#REF!,#REF!,#REF!,#REF!,#REF!,#REF!,#REF!,#REF!,#REF!,#REF!,#REF!,#REF!,#REF!,#REF!,#REF!,#REF!,#REF!,#REF!,#REF!,#REF!,#REF!,#REF!,#REF!,#REF!,#REF!,#REF!,#REF!</definedName>
    <definedName name="liste_cloture" localSheetId="26">#REF!,#REF!,#REF!,#REF!,#REF!,#REF!,#REF!,#REF!,#REF!,#REF!,#REF!,#REF!,#REF!,#REF!,#REF!,#REF!,#REF!,#REF!,#REF!,#REF!,#REF!,#REF!,#REF!,#REF!,#REF!,#REF!,#REF!,#REF!</definedName>
    <definedName name="liste_cloture" localSheetId="7">#REF!,#REF!,#REF!,#REF!,#REF!,#REF!,#REF!,#REF!,#REF!,#REF!,#REF!,#REF!,#REF!,#REF!,#REF!,#REF!,#REF!,#REF!,#REF!,#REF!,#REF!,#REF!,#REF!,#REF!,#REF!,#REF!,#REF!,#REF!</definedName>
    <definedName name="liste_cloture" localSheetId="8">#REF!,#REF!,#REF!,#REF!,#REF!,#REF!,#REF!,#REF!,#REF!,#REF!,#REF!,#REF!,#REF!,#REF!,#REF!,#REF!,#REF!,#REF!,#REF!,#REF!,#REF!,#REF!,#REF!,#REF!,#REF!,#REF!,#REF!,#REF!</definedName>
    <definedName name="liste_cloture">#REF!,#REF!,#REF!,#REF!,#REF!,#REF!,#REF!,#REF!,#REF!,#REF!,#REF!,#REF!,#REF!,#REF!,#REF!,#REF!,#REF!,#REF!,#REF!,#REF!,#REF!,#REF!,#REF!,#REF!,#REF!,#REF!,#REF!,#REF!</definedName>
    <definedName name="liste_feuilles" localSheetId="21">#REF!,#REF!,#REF!,#REF!,#REF!,#REF!,#REF!,#REF!,#REF!,#REF!,#REF!,#REF!,#REF!,#REF!,#REF!,#REF!,#REF!,#REF!,#REF!,#REF!,#REF!,#REF!,#REF!,#REF!,#REF!,#REF!,#REF!,#REF!</definedName>
    <definedName name="liste_feuilles" localSheetId="6">#REF!,#REF!,#REF!,#REF!,#REF!,#REF!,#REF!,#REF!,#REF!,#REF!,#REF!,#REF!,#REF!,#REF!,#REF!,#REF!,#REF!,#REF!,#REF!,#REF!,#REF!,#REF!,#REF!,#REF!,#REF!,#REF!,#REF!,#REF!</definedName>
    <definedName name="liste_feuilles" localSheetId="26">#REF!,#REF!,#REF!,#REF!,#REF!,#REF!,#REF!,#REF!,#REF!,#REF!,#REF!,#REF!,#REF!,#REF!,#REF!,#REF!,#REF!,#REF!,#REF!,#REF!,#REF!,#REF!,#REF!,#REF!,#REF!,#REF!,#REF!,#REF!</definedName>
    <definedName name="liste_feuilles" localSheetId="7">#REF!,#REF!,#REF!,#REF!,#REF!,#REF!,#REF!,#REF!,#REF!,#REF!,#REF!,#REF!,#REF!,#REF!,#REF!,#REF!,#REF!,#REF!,#REF!,#REF!,#REF!,#REF!,#REF!,#REF!,#REF!,#REF!,#REF!,#REF!</definedName>
    <definedName name="liste_feuilles" localSheetId="8">#REF!,#REF!,#REF!,#REF!,#REF!,#REF!,#REF!,#REF!,#REF!,#REF!,#REF!,#REF!,#REF!,#REF!,#REF!,#REF!,#REF!,#REF!,#REF!,#REF!,#REF!,#REF!,#REF!,#REF!,#REF!,#REF!,#REF!,#REF!</definedName>
    <definedName name="liste_feuilles">#REF!,#REF!,#REF!,#REF!,#REF!,#REF!,#REF!,#REF!,#REF!,#REF!,#REF!,#REF!,#REF!,#REF!,#REF!,#REF!,#REF!,#REF!,#REF!,#REF!,#REF!,#REF!,#REF!,#REF!,#REF!,#REF!,#REF!,#REF!</definedName>
    <definedName name="liste_impressions" localSheetId="21">#REF!</definedName>
    <definedName name="liste_impressions" localSheetId="6">#REF!</definedName>
    <definedName name="liste_impressions" localSheetId="26">#REF!</definedName>
    <definedName name="liste_impressions" localSheetId="7">#REF!</definedName>
    <definedName name="liste_impressions">#REF!</definedName>
    <definedName name="liste_principale" localSheetId="21">#REF!,#REF!</definedName>
    <definedName name="liste_principale" localSheetId="6">#REF!,#REF!</definedName>
    <definedName name="liste_principale" localSheetId="26">#REF!,#REF!</definedName>
    <definedName name="liste_principale" localSheetId="7">#REF!,#REF!</definedName>
    <definedName name="liste_principale" localSheetId="8">#REF!,#REF!</definedName>
    <definedName name="liste_principale">#REF!,#REF!</definedName>
    <definedName name="loadedcostallocation6600" localSheetId="21">#REF!</definedName>
    <definedName name="loadedcostallocation6600" localSheetId="6">#REF!</definedName>
    <definedName name="loadedcostallocation6600" localSheetId="26">#REF!</definedName>
    <definedName name="loadedcostallocation6600" localSheetId="7">#REF!</definedName>
    <definedName name="loadedcostallocation6600">#REF!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TM_Date" localSheetId="21">#REF!</definedName>
    <definedName name="LTM_Date" localSheetId="6">#REF!</definedName>
    <definedName name="LTM_Date" localSheetId="26">#REF!</definedName>
    <definedName name="LTM_Date" localSheetId="7">#REF!</definedName>
    <definedName name="LTM_Date" localSheetId="8">#REF!</definedName>
    <definedName name="LTM_Date">#REF!</definedName>
    <definedName name="LTV" localSheetId="21">#REF!</definedName>
    <definedName name="LTV" localSheetId="6">#REF!</definedName>
    <definedName name="LTV" localSheetId="26">#REF!</definedName>
    <definedName name="LTV" localSheetId="7">#REF!</definedName>
    <definedName name="LTV" localSheetId="8">#REF!</definedName>
    <definedName name="LTV">#REF!</definedName>
    <definedName name="m_raz" localSheetId="21">#REF!,#REF!,#REF!</definedName>
    <definedName name="m_raz" localSheetId="6">#REF!,#REF!,#REF!</definedName>
    <definedName name="m_raz" localSheetId="26">#REF!,#REF!,#REF!</definedName>
    <definedName name="m_raz" localSheetId="7">#REF!,#REF!,#REF!</definedName>
    <definedName name="m_raz" localSheetId="8">#REF!,#REF!,#REF!</definedName>
    <definedName name="m_raz">#REF!,#REF!,#REF!</definedName>
    <definedName name="Macro1">#N/A</definedName>
    <definedName name="Macro2">#N/A</definedName>
    <definedName name="marketing6234" localSheetId="21">#REF!</definedName>
    <definedName name="marketing6234" localSheetId="6">#REF!</definedName>
    <definedName name="marketing6234" localSheetId="26">#REF!</definedName>
    <definedName name="marketing6234" localSheetId="7">#REF!</definedName>
    <definedName name="marketing6234" localSheetId="8">#REF!</definedName>
    <definedName name="marketing6234">#REF!</definedName>
    <definedName name="miscellaneous6240" localSheetId="21">#REF!</definedName>
    <definedName name="miscellaneous6240" localSheetId="6">#REF!</definedName>
    <definedName name="miscellaneous6240" localSheetId="26">#REF!</definedName>
    <definedName name="miscellaneous6240" localSheetId="7">#REF!</definedName>
    <definedName name="miscellaneous6240">#REF!</definedName>
    <definedName name="mois" localSheetId="21">#REF!</definedName>
    <definedName name="mois" localSheetId="6">#REF!</definedName>
    <definedName name="mois" localSheetId="26">#REF!</definedName>
    <definedName name="mois" localSheetId="7">#REF!</definedName>
    <definedName name="mois">#REF!</definedName>
    <definedName name="monnaie" localSheetId="21">#REF!</definedName>
    <definedName name="monnaie" localSheetId="6">#REF!</definedName>
    <definedName name="monnaie" localSheetId="7">#REF!</definedName>
    <definedName name="monnaie">#REF!</definedName>
    <definedName name="month" localSheetId="21">#REF!</definedName>
    <definedName name="month" localSheetId="6">#REF!</definedName>
    <definedName name="month" localSheetId="7">#REF!</definedName>
    <definedName name="month">#REF!</definedName>
    <definedName name="monthdays" localSheetId="21">#REF!</definedName>
    <definedName name="monthdays" localSheetId="6">#REF!</definedName>
    <definedName name="monthdays" localSheetId="7">#REF!</definedName>
    <definedName name="monthdays">#REF!</definedName>
    <definedName name="Next_FYE" localSheetId="21">#REF!</definedName>
    <definedName name="Next_FYE" localSheetId="6">#REF!</definedName>
    <definedName name="Next_FYE" localSheetId="7">#REF!</definedName>
    <definedName name="Next_FYE">#REF!</definedName>
    <definedName name="Node" localSheetId="21">#REF!</definedName>
    <definedName name="Node" localSheetId="6">#REF!</definedName>
    <definedName name="Node" localSheetId="7">#REF!</definedName>
    <definedName name="Node">#REF!</definedName>
    <definedName name="nodelookup" localSheetId="21">#REF!</definedName>
    <definedName name="nodelookup" localSheetId="6">#REF!</definedName>
    <definedName name="nodelookup" localSheetId="7">#REF!</definedName>
    <definedName name="nodelookup">#REF!</definedName>
    <definedName name="NvsAnswerCol">"'[KTGRP2004-07-31.xls]A15e'!$A$13:$A$65536"</definedName>
    <definedName name="NvsASD">"V2003-09-30"</definedName>
    <definedName name="NvsAutoDrillOk">"VN"</definedName>
    <definedName name="NvsElapsedTime">0.000062962957599666</definedName>
    <definedName name="NvsEndTime">37903.4330671296</definedName>
    <definedName name="NvsInstLang">"VENG"</definedName>
    <definedName name="NvsInstSpec">"%,FBUSINESS_UNIT,V040,FCURRENCY_CD,VUSD"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"V2003-01-01"</definedName>
    <definedName name="NvsPanelSetid">"VSHARE"</definedName>
    <definedName name="NvsParentRef">"'[ARCBS2004-08-31.xls]Balance Sheet'!$H$155"</definedName>
    <definedName name="NvsReqBU">"V084"</definedName>
    <definedName name="NvsReqBUOnly">"VN"</definedName>
    <definedName name="NvsTransLed">"VN"</definedName>
    <definedName name="NvsTreeASD">"V2003-09-30"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SCENARIO">"BD_SCENARIO_TBL"</definedName>
    <definedName name="officesupplies6550" localSheetId="6">#REF!</definedName>
    <definedName name="officesupplies6550" localSheetId="26">#REF!</definedName>
    <definedName name="officesupplies6550" localSheetId="7">#REF!</definedName>
    <definedName name="officesupplies6550">#REF!</definedName>
    <definedName name="operating_case" localSheetId="21">#REF!</definedName>
    <definedName name="operating_case" localSheetId="6">#REF!</definedName>
    <definedName name="operating_case" localSheetId="26">#REF!</definedName>
    <definedName name="operating_case" localSheetId="7">#REF!</definedName>
    <definedName name="operating_case">#REF!</definedName>
    <definedName name="oprid" localSheetId="21">#REF!</definedName>
    <definedName name="oprid" localSheetId="6">#REF!</definedName>
    <definedName name="oprid" localSheetId="26">#REF!</definedName>
    <definedName name="oprid" localSheetId="7">#REF!</definedName>
    <definedName name="oprid">#REF!</definedName>
    <definedName name="oprid2" localSheetId="21">#REF!</definedName>
    <definedName name="oprid2" localSheetId="6">#REF!</definedName>
    <definedName name="oprid2" localSheetId="7">#REF!</definedName>
    <definedName name="oprid2">#REF!</definedName>
    <definedName name="OrderTable" localSheetId="14" hidden="1">#REF!</definedName>
    <definedName name="OrderTable" localSheetId="21" hidden="1">#REF!</definedName>
    <definedName name="OrderTable" localSheetId="6" hidden="1">#REF!</definedName>
    <definedName name="OrderTable" localSheetId="27" hidden="1">#REF!</definedName>
    <definedName name="OrderTable" localSheetId="7" hidden="1">#REF!</definedName>
    <definedName name="OrderTable" localSheetId="13" hidden="1">#REF!</definedName>
    <definedName name="OrderTable" hidden="1">#REF!</definedName>
    <definedName name="orientation">"paysage"</definedName>
    <definedName name="otherincome7030" localSheetId="6">#REF!</definedName>
    <definedName name="otherincome7030" localSheetId="26">#REF!</definedName>
    <definedName name="otherincome7030" localSheetId="7">#REF!</definedName>
    <definedName name="otherincome7030">#REF!</definedName>
    <definedName name="outsideservices6555" localSheetId="21">#REF!</definedName>
    <definedName name="outsideservices6555" localSheetId="6">#REF!</definedName>
    <definedName name="outsideservices6555" localSheetId="26">#REF!</definedName>
    <definedName name="outsideservices6555" localSheetId="7">#REF!</definedName>
    <definedName name="outsideservices6555">#REF!</definedName>
    <definedName name="Overhead" localSheetId="21">#REF!</definedName>
    <definedName name="Overhead" localSheetId="6">#REF!</definedName>
    <definedName name="Overhead" localSheetId="26">#REF!</definedName>
    <definedName name="Overhead" localSheetId="7">#REF!</definedName>
    <definedName name="Overhead">#REF!</definedName>
    <definedName name="Ownership" localSheetId="21" hidden="1">OFFSET(#REF!,1,0)</definedName>
    <definedName name="Ownership" localSheetId="6" hidden="1">OFFSET(#REF!,1,0)</definedName>
    <definedName name="Ownership" localSheetId="26" hidden="1">OFFSET(#REF!,1,0)</definedName>
    <definedName name="Ownership" localSheetId="7" hidden="1">OFFSET(#REF!,1,0)</definedName>
    <definedName name="Ownership" localSheetId="8" hidden="1">OFFSET(#REF!,1,0)</definedName>
    <definedName name="Ownership" localSheetId="13" hidden="1">OFFSET(#REF!,1,0)</definedName>
    <definedName name="Ownership" hidden="1">OFFSET(#REF!,1,0)</definedName>
    <definedName name="P.LIST" localSheetId="21" hidden="1">#REF!</definedName>
    <definedName name="P.LIST" localSheetId="6" hidden="1">#REF!</definedName>
    <definedName name="P.LIST" localSheetId="26" hidden="1">#REF!</definedName>
    <definedName name="P.LIST" localSheetId="7" hidden="1">#REF!</definedName>
    <definedName name="P.LIST" localSheetId="8" hidden="1">#REF!</definedName>
    <definedName name="P.LIST" localSheetId="13" hidden="1">#REF!</definedName>
    <definedName name="P.LIST" hidden="1">#REF!</definedName>
    <definedName name="passif" localSheetId="21">#REF!</definedName>
    <definedName name="passif" localSheetId="6">#REF!</definedName>
    <definedName name="passif" localSheetId="26">#REF!</definedName>
    <definedName name="passif" localSheetId="7">#REF!</definedName>
    <definedName name="passif" localSheetId="8">#REF!</definedName>
    <definedName name="passif">#REF!</definedName>
    <definedName name="PED_LACTUALS" localSheetId="21">#REF!</definedName>
    <definedName name="PED_LACTUALS" localSheetId="6">#REF!</definedName>
    <definedName name="PED_LACTUALS" localSheetId="26">#REF!</definedName>
    <definedName name="PED_LACTUALS" localSheetId="7">#REF!</definedName>
    <definedName name="PED_LACTUALS" localSheetId="8">#REF!</definedName>
    <definedName name="PED_LACTUALS">#REF!</definedName>
    <definedName name="period" localSheetId="21">#REF!</definedName>
    <definedName name="period" localSheetId="6">#REF!</definedName>
    <definedName name="period" localSheetId="7">#REF!</definedName>
    <definedName name="period">#REF!</definedName>
    <definedName name="PERPERSONCOUNT" localSheetId="21">#REF!</definedName>
    <definedName name="PERPERSONCOUNT" localSheetId="6">#REF!</definedName>
    <definedName name="PERPERSONCOUNT" localSheetId="7">#REF!</definedName>
    <definedName name="PERPERSONCOUNT">#REF!</definedName>
    <definedName name="PHX" localSheetId="21">#REF!</definedName>
    <definedName name="PHX" localSheetId="6">#REF!</definedName>
    <definedName name="PHX" localSheetId="7">#REF!</definedName>
    <definedName name="PHX">#REF!</definedName>
    <definedName name="postagedelivery6250" localSheetId="21">#REF!</definedName>
    <definedName name="postagedelivery6250" localSheetId="6">#REF!</definedName>
    <definedName name="postagedelivery6250" localSheetId="7">#REF!</definedName>
    <definedName name="postagedelivery6250">#REF!</definedName>
    <definedName name="PP_company_assets" localSheetId="21">#REF!</definedName>
    <definedName name="PP_company_assets" localSheetId="6">#REF!</definedName>
    <definedName name="PP_company_assets" localSheetId="7">#REF!</definedName>
    <definedName name="PP_company_assets">#REF!</definedName>
    <definedName name="pp_real_estate" localSheetId="21">#REF!</definedName>
    <definedName name="pp_real_estate" localSheetId="6">#REF!</definedName>
    <definedName name="pp_real_estate" localSheetId="7">#REF!</definedName>
    <definedName name="pp_real_estate">#REF!</definedName>
    <definedName name="pp_real_estate_B" localSheetId="21">#REF!</definedName>
    <definedName name="pp_real_estate_B" localSheetId="6">#REF!</definedName>
    <definedName name="pp_real_estate_B" localSheetId="7">#REF!</definedName>
    <definedName name="pp_real_estate_B">#REF!</definedName>
    <definedName name="premiere_cellule" localSheetId="21">#REF!</definedName>
    <definedName name="premiere_cellule" localSheetId="6">#REF!</definedName>
    <definedName name="premiere_cellule" localSheetId="7">#REF!</definedName>
    <definedName name="premiere_cellule">#REF!</definedName>
    <definedName name="premiere_colonne_libre">6</definedName>
    <definedName name="PRICE_BLACK_OX_PIN">'[1]Pin Gages'!$M$67:$P$72</definedName>
    <definedName name="PRICE_BLACK_ZZ_PIN">#REF!</definedName>
    <definedName name="PRICE_X_PIN" localSheetId="14">#REF!</definedName>
    <definedName name="PRICE_X_PIN" localSheetId="27">#REF!</definedName>
    <definedName name="PRICE_X_PIN" localSheetId="8">'4. Individual Pin Gages'!$S$34:$S$43</definedName>
    <definedName name="PRICE_X_PIN" localSheetId="13">'[1]Pin Gages'!$M$36:$P$45</definedName>
    <definedName name="PRICE_X_PIN">#REF!</definedName>
    <definedName name="PRICE_XX_PIN" localSheetId="14">#REF!</definedName>
    <definedName name="PRICE_XX_PIN" localSheetId="27">#REF!</definedName>
    <definedName name="PRICE_XX_PIN" localSheetId="8">'4. Individual Pin Gages'!$S$51:$S$60</definedName>
    <definedName name="PRICE_XX_PIN" localSheetId="13">'[1]Pin Gages'!$M$52:$P$61</definedName>
    <definedName name="PRICE_XX_PIN">#REF!</definedName>
    <definedName name="PRICE_Z_PIN" localSheetId="14">#REF!</definedName>
    <definedName name="PRICE_Z_PIN" localSheetId="27">#REF!</definedName>
    <definedName name="PRICE_Z_PIN" localSheetId="8">'4. Individual Pin Gages'!$S$17:$S$26</definedName>
    <definedName name="PRICE_Z_PIN" localSheetId="13">'[1]Pin Gages'!$M$20:$P$29</definedName>
    <definedName name="PRICE_Z_PIN">#REF!</definedName>
    <definedName name="print_janfeb" localSheetId="21">#REF!</definedName>
    <definedName name="print_janfeb" localSheetId="6">#REF!</definedName>
    <definedName name="print_janfeb" localSheetId="26">#REF!</definedName>
    <definedName name="print_janfeb" localSheetId="7">#REF!</definedName>
    <definedName name="print_janfeb" localSheetId="8">#REF!</definedName>
    <definedName name="print_janfeb">#REF!</definedName>
    <definedName name="print_marjun" localSheetId="21">#REF!</definedName>
    <definedName name="print_marjun" localSheetId="6">#REF!</definedName>
    <definedName name="print_marjun" localSheetId="26">#REF!</definedName>
    <definedName name="print_marjun" localSheetId="7">#REF!</definedName>
    <definedName name="print_marjun" localSheetId="8">#REF!</definedName>
    <definedName name="print_marjun">#REF!</definedName>
    <definedName name="print_total" localSheetId="21">#REF!</definedName>
    <definedName name="print_total" localSheetId="6">#REF!</definedName>
    <definedName name="print_total" localSheetId="26">#REF!</definedName>
    <definedName name="print_total" localSheetId="7">#REF!</definedName>
    <definedName name="print_total" localSheetId="8">#REF!</definedName>
    <definedName name="print_total">#REF!</definedName>
    <definedName name="PrintSales_Table" localSheetId="21">#REF!</definedName>
    <definedName name="PrintSales_Table" localSheetId="6">#REF!</definedName>
    <definedName name="PrintSales_Table" localSheetId="7">#REF!</definedName>
    <definedName name="PrintSales_Table">#REF!</definedName>
    <definedName name="Pro_Forma_FYE_Date" localSheetId="21">#REF!</definedName>
    <definedName name="Pro_Forma_FYE_Date" localSheetId="6">#REF!</definedName>
    <definedName name="Pro_Forma_FYE_Date" localSheetId="7">#REF!</definedName>
    <definedName name="Pro_Forma_FYE_Date">#REF!</definedName>
    <definedName name="ProdForm" localSheetId="14" hidden="1">#REF!</definedName>
    <definedName name="ProdForm" localSheetId="21" hidden="1">#REF!</definedName>
    <definedName name="ProdForm" localSheetId="6" hidden="1">#REF!</definedName>
    <definedName name="ProdForm" localSheetId="27" hidden="1">#REF!</definedName>
    <definedName name="ProdForm" localSheetId="7" hidden="1">#REF!</definedName>
    <definedName name="ProdForm" localSheetId="13" hidden="1">#REF!</definedName>
    <definedName name="ProdForm" hidden="1">#REF!</definedName>
    <definedName name="professionalfees6270" localSheetId="21">#REF!</definedName>
    <definedName name="professionalfees6270" localSheetId="6">#REF!</definedName>
    <definedName name="professionalfees6270" localSheetId="7">#REF!</definedName>
    <definedName name="professionalfees6270">#REF!</definedName>
    <definedName name="Quarters" localSheetId="21">#REF!</definedName>
    <definedName name="Quarters" localSheetId="6">#REF!</definedName>
    <definedName name="Quarters" localSheetId="7">#REF!</definedName>
    <definedName name="Quarters">#REF!</definedName>
    <definedName name="ratecardtable" localSheetId="21">#REF!</definedName>
    <definedName name="ratecardtable" localSheetId="6">#REF!</definedName>
    <definedName name="ratecardtable" localSheetId="7">#REF!</definedName>
    <definedName name="ratecardtable">#REF!</definedName>
    <definedName name="RCArea" localSheetId="14" hidden="1">#REF!</definedName>
    <definedName name="RCArea" localSheetId="21" hidden="1">#REF!</definedName>
    <definedName name="RCArea" localSheetId="6" hidden="1">#REF!</definedName>
    <definedName name="RCArea" localSheetId="27" hidden="1">#REF!</definedName>
    <definedName name="RCArea" localSheetId="7" hidden="1">#REF!</definedName>
    <definedName name="RCArea" localSheetId="13" hidden="1">#REF!</definedName>
    <definedName name="RCArea" hidden="1">#REF!</definedName>
    <definedName name="recapture_tax" localSheetId="21">#REF!</definedName>
    <definedName name="recapture_tax" localSheetId="6">#REF!</definedName>
    <definedName name="recapture_tax" localSheetId="7">#REF!</definedName>
    <definedName name="recapture_tax">#REF!</definedName>
    <definedName name="recapture_tax_RE" localSheetId="21">#REF!</definedName>
    <definedName name="recapture_tax_RE" localSheetId="6">#REF!</definedName>
    <definedName name="recapture_tax_RE" localSheetId="7">#REF!</definedName>
    <definedName name="recapture_tax_RE">#REF!</definedName>
    <definedName name="recruiting6285" localSheetId="21">#REF!</definedName>
    <definedName name="recruiting6285" localSheetId="6">#REF!</definedName>
    <definedName name="recruiting6285" localSheetId="7">#REF!</definedName>
    <definedName name="recruiting6285">#REF!</definedName>
    <definedName name="Rent" localSheetId="14" hidden="1">#REF!</definedName>
    <definedName name="Rent" localSheetId="21" hidden="1">#REF!</definedName>
    <definedName name="Rent" localSheetId="6" hidden="1">#REF!</definedName>
    <definedName name="Rent" localSheetId="27" hidden="1">#REF!</definedName>
    <definedName name="Rent" localSheetId="7" hidden="1">#REF!</definedName>
    <definedName name="Rent" localSheetId="13" hidden="1">#REF!</definedName>
    <definedName name="Rent" hidden="1">#REF!</definedName>
    <definedName name="Rent2" localSheetId="21" hidden="1">#REF!</definedName>
    <definedName name="Rent2" localSheetId="6" hidden="1">#REF!</definedName>
    <definedName name="Rent2" localSheetId="7" hidden="1">#REF!</definedName>
    <definedName name="Rent2" hidden="1">#REF!</definedName>
    <definedName name="rent6290" localSheetId="21">#REF!</definedName>
    <definedName name="rent6290" localSheetId="6">#REF!</definedName>
    <definedName name="rent6290" localSheetId="7">#REF!</definedName>
    <definedName name="rent6290">#REF!</definedName>
    <definedName name="repairs6300" localSheetId="21">#REF!</definedName>
    <definedName name="repairs6300" localSheetId="6">#REF!</definedName>
    <definedName name="repairs6300" localSheetId="7">#REF!</definedName>
    <definedName name="repairs6300">#REF!</definedName>
    <definedName name="Rev_Subcategory" localSheetId="21">#REF!</definedName>
    <definedName name="Rev_Subcategory" localSheetId="6">#REF!</definedName>
    <definedName name="Rev_Subcategory" localSheetId="7">#REF!</definedName>
    <definedName name="Rev_Subcategory">#REF!</definedName>
    <definedName name="Rev_Type" localSheetId="21">#REF!</definedName>
    <definedName name="Rev_Type" localSheetId="6">#REF!</definedName>
    <definedName name="Rev_Type" localSheetId="7">#REF!</definedName>
    <definedName name="Rev_Type">#REF!</definedName>
    <definedName name="Rev1_Subcategory" localSheetId="21">#REF!</definedName>
    <definedName name="Rev1_Subcategory" localSheetId="6">#REF!</definedName>
    <definedName name="Rev1_Subcategory" localSheetId="7">#REF!</definedName>
    <definedName name="Rev1_Subcategory">#REF!</definedName>
    <definedName name="REVENUE012016" localSheetId="21">#REF!</definedName>
    <definedName name="REVENUE012016" localSheetId="6">#REF!</definedName>
    <definedName name="REVENUE012016" localSheetId="7">#REF!</definedName>
    <definedName name="REVENUE012016">#REF!</definedName>
    <definedName name="REVENUEFORECAST" localSheetId="21">#REF!</definedName>
    <definedName name="REVENUEFORECAST" localSheetId="6">#REF!</definedName>
    <definedName name="REVENUEFORECAST" localSheetId="7">#REF!</definedName>
    <definedName name="REVENUEFORECAST">#REF!</definedName>
    <definedName name="Revolver_commitment" localSheetId="21">#REF!</definedName>
    <definedName name="Revolver_commitment" localSheetId="6">#REF!</definedName>
    <definedName name="Revolver_commitment" localSheetId="7">#REF!</definedName>
    <definedName name="Revolver_commitment">#REF!</definedName>
    <definedName name="RID" localSheetId="21">#REF!</definedName>
    <definedName name="RID" localSheetId="6">#REF!</definedName>
    <definedName name="RID" localSheetId="7">#REF!</definedName>
    <definedName name="RID">#REF!</definedName>
    <definedName name="seller_note" localSheetId="21">#REF!</definedName>
    <definedName name="seller_note" localSheetId="6">#REF!</definedName>
    <definedName name="seller_note" localSheetId="7">#REF!</definedName>
    <definedName name="seller_note">#REF!</definedName>
    <definedName name="Service_Type" localSheetId="21">#REF!</definedName>
    <definedName name="Service_Type" localSheetId="6">#REF!</definedName>
    <definedName name="Service_Type" localSheetId="7">#REF!</definedName>
    <definedName name="Service_Type">#REF!</definedName>
    <definedName name="Service1_type" localSheetId="21">#REF!</definedName>
    <definedName name="Service1_type" localSheetId="6">#REF!</definedName>
    <definedName name="Service1_type" localSheetId="7">#REF!</definedName>
    <definedName name="Service1_type">#REF!</definedName>
    <definedName name="Show.Acct.Update.Warning" localSheetId="21" hidden="1">#REF!</definedName>
    <definedName name="Show.Acct.Update.Warning" localSheetId="6" hidden="1">#REF!</definedName>
    <definedName name="Show.Acct.Update.Warning" localSheetId="7" hidden="1">#REF!</definedName>
    <definedName name="Show.Acct.Update.Warning" hidden="1">#REF!</definedName>
    <definedName name="Show.MDB.Update.Warning" localSheetId="21" hidden="1">#REF!</definedName>
    <definedName name="Show.MDB.Update.Warning" localSheetId="6" hidden="1">#REF!</definedName>
    <definedName name="Show.MDB.Update.Warning" localSheetId="7" hidden="1">#REF!</definedName>
    <definedName name="Show.MDB.Update.Warning" hidden="1">#REF!</definedName>
    <definedName name="societe" localSheetId="21">#REF!</definedName>
    <definedName name="societe" localSheetId="6">#REF!</definedName>
    <definedName name="societe" localSheetId="7">#REF!</definedName>
    <definedName name="societe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pecialPrice" localSheetId="21" hidden="1">#REF!</definedName>
    <definedName name="SpecialPrice" localSheetId="6" hidden="1">#REF!</definedName>
    <definedName name="SpecialPrice" localSheetId="26" hidden="1">#REF!</definedName>
    <definedName name="SpecialPrice" localSheetId="7" hidden="1">#REF!</definedName>
    <definedName name="SpecialPrice" localSheetId="8" hidden="1">#REF!</definedName>
    <definedName name="SpecialPrice" localSheetId="13" hidden="1">#REF!</definedName>
    <definedName name="SpecialPrice" hidden="1">#REF!</definedName>
    <definedName name="state_tax" localSheetId="21">#REF!</definedName>
    <definedName name="state_tax" localSheetId="6">#REF!</definedName>
    <definedName name="state_tax" localSheetId="26">#REF!</definedName>
    <definedName name="state_tax" localSheetId="7">#REF!</definedName>
    <definedName name="state_tax" localSheetId="8">#REF!</definedName>
    <definedName name="state_tax">#REF!</definedName>
    <definedName name="sweep" localSheetId="21">#REF!</definedName>
    <definedName name="sweep" localSheetId="6">#REF!</definedName>
    <definedName name="sweep" localSheetId="7">#REF!</definedName>
    <definedName name="sweep">#REF!</definedName>
    <definedName name="table1" localSheetId="21">#REF!</definedName>
    <definedName name="table1" localSheetId="6">#REF!</definedName>
    <definedName name="table1" localSheetId="7">#REF!</definedName>
    <definedName name="table1">#REF!</definedName>
    <definedName name="tax" localSheetId="21">#REF!</definedName>
    <definedName name="tax" localSheetId="6">#REF!</definedName>
    <definedName name="tax" localSheetId="7">#REF!</definedName>
    <definedName name="tax">#REF!</definedName>
    <definedName name="tax_2" localSheetId="21">#REF!</definedName>
    <definedName name="tax_2" localSheetId="6">#REF!</definedName>
    <definedName name="tax_2" localSheetId="7">#REF!</definedName>
    <definedName name="tax_2">#REF!</definedName>
    <definedName name="taxes6820" localSheetId="21">#REF!</definedName>
    <definedName name="taxes6820" localSheetId="6">#REF!</definedName>
    <definedName name="taxes6820" localSheetId="7">#REF!</definedName>
    <definedName name="taxes6820">#REF!</definedName>
    <definedName name="tbl_ProdInfo" localSheetId="21" hidden="1">#REF!</definedName>
    <definedName name="tbl_ProdInfo" localSheetId="6" hidden="1">#REF!</definedName>
    <definedName name="tbl_ProdInfo" localSheetId="7" hidden="1">#REF!</definedName>
    <definedName name="tbl_ProdInfo" hidden="1">#REF!</definedName>
    <definedName name="telephoneinternet6340" localSheetId="21">#REF!</definedName>
    <definedName name="telephoneinternet6340" localSheetId="6">#REF!</definedName>
    <definedName name="telephoneinternet6340" localSheetId="7">#REF!</definedName>
    <definedName name="telephoneinternet6340">#REF!</definedName>
    <definedName name="Term_Loan_A" localSheetId="21">#REF!</definedName>
    <definedName name="Term_Loan_A" localSheetId="6">#REF!</definedName>
    <definedName name="Term_Loan_A" localSheetId="7">#REF!</definedName>
    <definedName name="Term_Loan_A">#REF!</definedName>
    <definedName name="Term_loan_B" localSheetId="21">#REF!</definedName>
    <definedName name="Term_loan_B" localSheetId="6">#REF!</definedName>
    <definedName name="Term_loan_B" localSheetId="7">#REF!</definedName>
    <definedName name="Term_loan_B">#REF!</definedName>
    <definedName name="Term_loan_C" localSheetId="21">#REF!</definedName>
    <definedName name="Term_loan_C" localSheetId="6">#REF!</definedName>
    <definedName name="Term_loan_C" localSheetId="7">#REF!</definedName>
    <definedName name="Term_loan_C">#REF!</definedName>
    <definedName name="term_rate" localSheetId="21">#REF!</definedName>
    <definedName name="term_rate" localSheetId="6">#REF!</definedName>
    <definedName name="term_rate" localSheetId="7">#REF!</definedName>
    <definedName name="term_rate">#REF!</definedName>
    <definedName name="TextRefCopyRangeCount" hidden="1">4</definedName>
    <definedName name="total6" localSheetId="21">#REF!</definedName>
    <definedName name="total6" localSheetId="6">#REF!</definedName>
    <definedName name="total6" localSheetId="26">#REF!</definedName>
    <definedName name="total6" localSheetId="7">#REF!</definedName>
    <definedName name="total6">#REF!</definedName>
    <definedName name="Trailers" localSheetId="21">#REF!</definedName>
    <definedName name="Trailers" localSheetId="6">#REF!</definedName>
    <definedName name="Trailers" localSheetId="26">#REF!</definedName>
    <definedName name="Trailers" localSheetId="7">#REF!</definedName>
    <definedName name="Trailers">#REF!</definedName>
    <definedName name="training6347" localSheetId="21">#REF!</definedName>
    <definedName name="training6347" localSheetId="6">#REF!</definedName>
    <definedName name="training6347" localSheetId="26">#REF!</definedName>
    <definedName name="training6347" localSheetId="7">#REF!</definedName>
    <definedName name="training6347">#REF!</definedName>
    <definedName name="travelentertainment6350" localSheetId="21">#REF!</definedName>
    <definedName name="travelentertainment6350" localSheetId="6">#REF!</definedName>
    <definedName name="travelentertainment6350" localSheetId="7">#REF!</definedName>
    <definedName name="travelentertainment6350">#REF!</definedName>
    <definedName name="units" localSheetId="21">#REF!</definedName>
    <definedName name="units" localSheetId="6">#REF!</definedName>
    <definedName name="units" localSheetId="7">#REF!</definedName>
    <definedName name="units">#REF!</definedName>
    <definedName name="utilities6390" localSheetId="21">#REF!</definedName>
    <definedName name="utilities6390" localSheetId="6">#REF!</definedName>
    <definedName name="utilities6390" localSheetId="7">#REF!</definedName>
    <definedName name="utilities6390">#REF!</definedName>
    <definedName name="utilizationtarget" localSheetId="21">#REF!</definedName>
    <definedName name="utilizationtarget" localSheetId="6">#REF!</definedName>
    <definedName name="utilizationtarget" localSheetId="7">#REF!</definedName>
    <definedName name="utilizationtarget">#REF!</definedName>
    <definedName name="version" localSheetId="21">#REF!</definedName>
    <definedName name="version" localSheetId="6">#REF!</definedName>
    <definedName name="version" localSheetId="7">#REF!</definedName>
    <definedName name="version">#REF!</definedName>
    <definedName name="vertex42_copyright" hidden="1">"© 2008-2018 Vertex42 LLC"</definedName>
    <definedName name="vertex42_id" hidden="1">"loan-amortization-schedule.xlsx"</definedName>
    <definedName name="vertex42_title" hidden="1">"Loan Amortization Schedule"</definedName>
    <definedName name="WACC" localSheetId="6">#REF!</definedName>
    <definedName name="WACC" localSheetId="26">#REF!</definedName>
    <definedName name="WACC" localSheetId="7">#REF!</definedName>
    <definedName name="WACC">#REF!</definedName>
    <definedName name="WalkYTDBudNEW" localSheetId="14" hidden="1">{"FIXVARIANCE",#N/A,FALSE,"COSTPHSE";"SOURCING",#N/A,FALSE,"COSTPHSE"}</definedName>
    <definedName name="WalkYTDBudNEW" localSheetId="17" hidden="1">{"FIXVARIANCE",#N/A,FALSE,"COSTPHSE";"SOURCING",#N/A,FALSE,"COSTPHSE"}</definedName>
    <definedName name="WalkYTDBudNEW" localSheetId="18" hidden="1">{"FIXVARIANCE",#N/A,FALSE,"COSTPHSE";"SOURCING",#N/A,FALSE,"COSTPHSE"}</definedName>
    <definedName name="WalkYTDBudNEW" localSheetId="19" hidden="1">{"FIXVARIANCE",#N/A,FALSE,"COSTPHSE";"SOURCING",#N/A,FALSE,"COSTPHSE"}</definedName>
    <definedName name="WalkYTDBudNEW" localSheetId="20" hidden="1">{"FIXVARIANCE",#N/A,FALSE,"COSTPHSE";"SOURCING",#N/A,FALSE,"COSTPHSE"}</definedName>
    <definedName name="WalkYTDBudNEW" localSheetId="21" hidden="1">{"FIXVARIANCE",#N/A,FALSE,"COSTPHSE";"SOURCING",#N/A,FALSE,"COSTPHSE"}</definedName>
    <definedName name="WalkYTDBudNEW" localSheetId="6" hidden="1">{"FIXVARIANCE",#N/A,FALSE,"COSTPHSE";"SOURCING",#N/A,FALSE,"COSTPHSE"}</definedName>
    <definedName name="WalkYTDBudNEW" localSheetId="26" hidden="1">{"FIXVARIANCE",#N/A,FALSE,"COSTPHSE";"SOURCING",#N/A,FALSE,"COSTPHSE"}</definedName>
    <definedName name="WalkYTDBudNEW" localSheetId="27" hidden="1">{"FIXVARIANCE",#N/A,FALSE,"COSTPHSE";"SOURCING",#N/A,FALSE,"COSTPHSE"}</definedName>
    <definedName name="WalkYTDBudNEW" localSheetId="7" hidden="1">{"FIXVARIANCE",#N/A,FALSE,"COSTPHSE";"SOURCING",#N/A,FALSE,"COSTPHSE"}</definedName>
    <definedName name="WalkYTDBudNEW" localSheetId="8" hidden="1">{"FIXVARIANCE",#N/A,FALSE,"COSTPHSE";"SOURCING",#N/A,FALSE,"COSTPHSE"}</definedName>
    <definedName name="WalkYTDBudNEW" localSheetId="13" hidden="1">{"FIXVARIANCE",#N/A,FALSE,"COSTPHSE";"SOURCING",#N/A,FALSE,"COSTPHSE"}</definedName>
    <definedName name="WalkYTDBudNEW" localSheetId="0" hidden="1">{"FIXVARIANCE",#N/A,FALSE,"COSTPHSE";"SOURCING",#N/A,FALSE,"COSTPHSE"}</definedName>
    <definedName name="WalkYTDBudNEW" hidden="1">{"FIXVARIANCE",#N/A,FALSE,"COSTPHSE";"SOURCING",#N/A,FALSE,"COSTPHSE"}</definedName>
    <definedName name="wrn.Aging._.and._.Trend._.Analysis." localSheetId="14" hidden="1">{#N/A,#N/A,FALSE,"Aging Summary";#N/A,#N/A,FALSE,"Ratio Analysis";#N/A,#N/A,FALSE,"Test 120 Day Accts";#N/A,#N/A,FALSE,"Tickmarks"}</definedName>
    <definedName name="wrn.Aging._.and._.Trend._.Analysis." localSheetId="17" hidden="1">{#N/A,#N/A,FALSE,"Aging Summary";#N/A,#N/A,FALSE,"Ratio Analysis";#N/A,#N/A,FALSE,"Test 120 Day Accts";#N/A,#N/A,FALSE,"Tickmarks"}</definedName>
    <definedName name="wrn.Aging._.and._.Trend._.Analysis." localSheetId="18" hidden="1">{#N/A,#N/A,FALSE,"Aging Summary";#N/A,#N/A,FALSE,"Ratio Analysis";#N/A,#N/A,FALSE,"Test 120 Day Accts";#N/A,#N/A,FALSE,"Tickmarks"}</definedName>
    <definedName name="wrn.Aging._.and._.Trend._.Analysis." localSheetId="19" hidden="1">{#N/A,#N/A,FALSE,"Aging Summary";#N/A,#N/A,FALSE,"Ratio Analysis";#N/A,#N/A,FALSE,"Test 120 Day Accts";#N/A,#N/A,FALSE,"Tickmarks"}</definedName>
    <definedName name="wrn.Aging._.and._.Trend._.Analysis." localSheetId="20" hidden="1">{#N/A,#N/A,FALSE,"Aging Summary";#N/A,#N/A,FALSE,"Ratio Analysis";#N/A,#N/A,FALSE,"Test 120 Day Accts";#N/A,#N/A,FALSE,"Tickmarks"}</definedName>
    <definedName name="wrn.Aging._.and._.Trend._.Analysis." localSheetId="21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26" hidden="1">{#N/A,#N/A,FALSE,"Aging Summary";#N/A,#N/A,FALSE,"Ratio Analysis";#N/A,#N/A,FALSE,"Test 120 Day Accts";#N/A,#N/A,FALSE,"Tickmarks"}</definedName>
    <definedName name="wrn.Aging._.and._.Trend._.Analysis." localSheetId="27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pp_a" localSheetId="14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localSheetId="1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localSheetId="18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localSheetId="19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localSheetId="20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localSheetId="21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localSheetId="6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localSheetId="26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localSheetId="2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localSheetId="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localSheetId="8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localSheetId="13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localSheetId="0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14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1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18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19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20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21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6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26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2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8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13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0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endixA." localSheetId="14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localSheetId="1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localSheetId="18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localSheetId="19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localSheetId="20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localSheetId="21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localSheetId="6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localSheetId="26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localSheetId="2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localSheetId="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localSheetId="8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localSheetId="13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localSheetId="0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Budget98." localSheetId="14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localSheetId="17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localSheetId="18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localSheetId="19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localSheetId="20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localSheetId="21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localSheetId="6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localSheetId="26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localSheetId="27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localSheetId="7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localSheetId="8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localSheetId="13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localSheetId="0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MF2001." localSheetId="14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localSheetId="17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localSheetId="18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localSheetId="19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localSheetId="20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localSheetId="21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localSheetId="6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localSheetId="26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localSheetId="27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localSheetId="7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localSheetId="8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localSheetId="13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localSheetId="0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SBEI." localSheetId="14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17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18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19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20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21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6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26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27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7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8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13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0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m_Bus_Char." localSheetId="14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localSheetId="17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localSheetId="18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localSheetId="19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localSheetId="20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localSheetId="21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localSheetId="6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localSheetId="26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localSheetId="27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localSheetId="7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localSheetId="8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localSheetId="13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localSheetId="0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X_INCH_PIN" localSheetId="14">#REF!</definedName>
    <definedName name="X_INCH_PIN" localSheetId="27">#REF!</definedName>
    <definedName name="X_INCH_PIN" localSheetId="8">'4. Individual Pin Gages'!$B$34:$B$43</definedName>
    <definedName name="X_INCH_PIN" localSheetId="13">'[1]Pin Gages'!$B$36:$B$45</definedName>
    <definedName name="X_INCH_PIN">#REF!</definedName>
    <definedName name="X_METRIC_PIN" localSheetId="14">#REF!</definedName>
    <definedName name="X_METRIC_PIN" localSheetId="27">#REF!</definedName>
    <definedName name="X_METRIC_PIN" localSheetId="8">'4. Individual Pin Gages'!$E$34:$E$43</definedName>
    <definedName name="X_METRIC_PIN" localSheetId="13">'[1]Pin Gages'!$E$36:$E$45</definedName>
    <definedName name="X_METRIC_PIN">#REF!</definedName>
    <definedName name="XREF_COLUMN_1" localSheetId="14" hidden="1">#REF!</definedName>
    <definedName name="XREF_COLUMN_1" localSheetId="21" hidden="1">#REF!</definedName>
    <definedName name="XREF_COLUMN_1" localSheetId="6" hidden="1">#REF!</definedName>
    <definedName name="XREF_COLUMN_1" localSheetId="26" hidden="1">#REF!</definedName>
    <definedName name="XREF_COLUMN_1" localSheetId="27" hidden="1">#REF!</definedName>
    <definedName name="XREF_COLUMN_1" localSheetId="7" hidden="1">#REF!</definedName>
    <definedName name="XREF_COLUMN_1" localSheetId="8" hidden="1">#REF!</definedName>
    <definedName name="XREF_COLUMN_1" localSheetId="13" hidden="1">#REF!</definedName>
    <definedName name="XREF_COLUMN_1" hidden="1">#REF!</definedName>
    <definedName name="XREF_COLUMN_2" localSheetId="21" hidden="1">#REF!</definedName>
    <definedName name="XREF_COLUMN_2" localSheetId="6" hidden="1">#REF!</definedName>
    <definedName name="XREF_COLUMN_2" localSheetId="26" hidden="1">#REF!</definedName>
    <definedName name="XREF_COLUMN_2" localSheetId="7" hidden="1">#REF!</definedName>
    <definedName name="XREF_COLUMN_2" localSheetId="8" hidden="1">#REF!</definedName>
    <definedName name="XREF_COLUMN_2" localSheetId="13" hidden="1">#REF!</definedName>
    <definedName name="XREF_COLUMN_2" hidden="1">#REF!</definedName>
    <definedName name="XREF_COLUMN_3" localSheetId="21" hidden="1">#REF!</definedName>
    <definedName name="XREF_COLUMN_3" localSheetId="6" hidden="1">#REF!</definedName>
    <definedName name="XREF_COLUMN_3" localSheetId="26" hidden="1">#REF!</definedName>
    <definedName name="XREF_COLUMN_3" localSheetId="7" hidden="1">#REF!</definedName>
    <definedName name="XREF_COLUMN_3" localSheetId="8" hidden="1">#REF!</definedName>
    <definedName name="XREF_COLUMN_3" hidden="1">#REF!</definedName>
    <definedName name="XREF_COLUMN_4" localSheetId="21" hidden="1">#REF!</definedName>
    <definedName name="XREF_COLUMN_4" localSheetId="6" hidden="1">#REF!</definedName>
    <definedName name="XREF_COLUMN_4" localSheetId="7" hidden="1">#REF!</definedName>
    <definedName name="XREF_COLUMN_4" hidden="1">#REF!</definedName>
    <definedName name="XRefActiveRow" localSheetId="21" hidden="1">#REF!</definedName>
    <definedName name="XRefActiveRow" localSheetId="6" hidden="1">#REF!</definedName>
    <definedName name="XRefActiveRow" localSheetId="7" hidden="1">#REF!</definedName>
    <definedName name="XRefActiveRow" hidden="1">#REF!</definedName>
    <definedName name="XRefColumnsCount" hidden="1">4</definedName>
    <definedName name="XRefCopy1Row" localSheetId="21" hidden="1">#REF!</definedName>
    <definedName name="XRefCopy1Row" localSheetId="6" hidden="1">#REF!</definedName>
    <definedName name="XRefCopy1Row" localSheetId="26" hidden="1">#REF!</definedName>
    <definedName name="XRefCopy1Row" localSheetId="7" hidden="1">#REF!</definedName>
    <definedName name="XRefCopy1Row" localSheetId="8" hidden="1">#REF!</definedName>
    <definedName name="XRefCopy1Row" localSheetId="13" hidden="1">#REF!</definedName>
    <definedName name="XRefCopy1Row" hidden="1">#REF!</definedName>
    <definedName name="XRefCopy3" localSheetId="21" hidden="1">#REF!</definedName>
    <definedName name="XRefCopy3" localSheetId="6" hidden="1">#REF!</definedName>
    <definedName name="XRefCopy3" localSheetId="26" hidden="1">#REF!</definedName>
    <definedName name="XRefCopy3" localSheetId="7" hidden="1">#REF!</definedName>
    <definedName name="XRefCopy3" localSheetId="8" hidden="1">#REF!</definedName>
    <definedName name="XRefCopy3" localSheetId="13" hidden="1">#REF!</definedName>
    <definedName name="XRefCopy3" hidden="1">#REF!</definedName>
    <definedName name="XRefCopy3Row" localSheetId="21" hidden="1">#REF!</definedName>
    <definedName name="XRefCopy3Row" localSheetId="6" hidden="1">#REF!</definedName>
    <definedName name="XRefCopy3Row" localSheetId="26" hidden="1">#REF!</definedName>
    <definedName name="XRefCopy3Row" localSheetId="7" hidden="1">#REF!</definedName>
    <definedName name="XRefCopy3Row" localSheetId="8" hidden="1">#REF!</definedName>
    <definedName name="XRefCopy3Row" hidden="1">#REF!</definedName>
    <definedName name="XRefCopy4" localSheetId="21" hidden="1">#REF!</definedName>
    <definedName name="XRefCopy4" localSheetId="6" hidden="1">#REF!</definedName>
    <definedName name="XRefCopy4" localSheetId="7" hidden="1">#REF!</definedName>
    <definedName name="XRefCopy4" hidden="1">#REF!</definedName>
    <definedName name="XRefCopy4Row" localSheetId="21" hidden="1">#REF!</definedName>
    <definedName name="XRefCopy4Row" localSheetId="6" hidden="1">#REF!</definedName>
    <definedName name="XRefCopy4Row" localSheetId="7" hidden="1">#REF!</definedName>
    <definedName name="XRefCopy4Row" hidden="1">#REF!</definedName>
    <definedName name="XRefCopy5" localSheetId="21" hidden="1">#REF!</definedName>
    <definedName name="XRefCopy5" localSheetId="6" hidden="1">#REF!</definedName>
    <definedName name="XRefCopy5" localSheetId="7" hidden="1">#REF!</definedName>
    <definedName name="XRefCopy5" hidden="1">#REF!</definedName>
    <definedName name="XRefCopy5Row" localSheetId="21" hidden="1">#REF!</definedName>
    <definedName name="XRefCopy5Row" localSheetId="6" hidden="1">#REF!</definedName>
    <definedName name="XRefCopy5Row" localSheetId="7" hidden="1">#REF!</definedName>
    <definedName name="XRefCopy5Row" hidden="1">#REF!</definedName>
    <definedName name="XRefCopy6Row" localSheetId="21" hidden="1">#REF!</definedName>
    <definedName name="XRefCopy6Row" localSheetId="6" hidden="1">#REF!</definedName>
    <definedName name="XRefCopy6Row" localSheetId="7" hidden="1">#REF!</definedName>
    <definedName name="XRefCopy6Row" hidden="1">#REF!</definedName>
    <definedName name="XRefCopy7" localSheetId="21" hidden="1">#REF!</definedName>
    <definedName name="XRefCopy7" localSheetId="6" hidden="1">#REF!</definedName>
    <definedName name="XRefCopy7" localSheetId="7" hidden="1">#REF!</definedName>
    <definedName name="XRefCopy7" hidden="1">#REF!</definedName>
    <definedName name="XRefCopy7Row" localSheetId="21" hidden="1">#REF!</definedName>
    <definedName name="XRefCopy7Row" localSheetId="6" hidden="1">#REF!</definedName>
    <definedName name="XRefCopy7Row" localSheetId="7" hidden="1">#REF!</definedName>
    <definedName name="XRefCopy7Row" hidden="1">#REF!</definedName>
    <definedName name="XRefCopy8" localSheetId="21" hidden="1">#REF!</definedName>
    <definedName name="XRefCopy8" localSheetId="6" hidden="1">#REF!</definedName>
    <definedName name="XRefCopy8" localSheetId="7" hidden="1">#REF!</definedName>
    <definedName name="XRefCopy8" hidden="1">#REF!</definedName>
    <definedName name="XRefCopy8Row" localSheetId="21" hidden="1">#REF!</definedName>
    <definedName name="XRefCopy8Row" localSheetId="6" hidden="1">#REF!</definedName>
    <definedName name="XRefCopy8Row" localSheetId="7" hidden="1">#REF!</definedName>
    <definedName name="XRefCopy8Row" hidden="1">#REF!</definedName>
    <definedName name="XRefCopyRangeCount" hidden="1">8</definedName>
    <definedName name="XRefPaste1" localSheetId="21" hidden="1">#REF!</definedName>
    <definedName name="XRefPaste1" localSheetId="6" hidden="1">#REF!</definedName>
    <definedName name="XRefPaste1" localSheetId="26" hidden="1">#REF!</definedName>
    <definedName name="XRefPaste1" localSheetId="7" hidden="1">#REF!</definedName>
    <definedName name="XRefPaste1" localSheetId="8" hidden="1">#REF!</definedName>
    <definedName name="XRefPaste1" localSheetId="13" hidden="1">#REF!</definedName>
    <definedName name="XRefPaste1" hidden="1">#REF!</definedName>
    <definedName name="XRefPaste1Row" localSheetId="21" hidden="1">#REF!</definedName>
    <definedName name="XRefPaste1Row" localSheetId="6" hidden="1">#REF!</definedName>
    <definedName name="XRefPaste1Row" localSheetId="26" hidden="1">#REF!</definedName>
    <definedName name="XRefPaste1Row" localSheetId="7" hidden="1">#REF!</definedName>
    <definedName name="XRefPaste1Row" localSheetId="8" hidden="1">#REF!</definedName>
    <definedName name="XRefPaste1Row" localSheetId="13" hidden="1">#REF!</definedName>
    <definedName name="XRefPaste1Row" hidden="1">#REF!</definedName>
    <definedName name="XRefPaste2" localSheetId="21" hidden="1">#REF!</definedName>
    <definedName name="XRefPaste2" localSheetId="6" hidden="1">#REF!</definedName>
    <definedName name="XRefPaste2" localSheetId="26" hidden="1">#REF!</definedName>
    <definedName name="XRefPaste2" localSheetId="7" hidden="1">#REF!</definedName>
    <definedName name="XRefPaste2" localSheetId="8" hidden="1">#REF!</definedName>
    <definedName name="XRefPaste2" hidden="1">#REF!</definedName>
    <definedName name="XRefPaste2Row" localSheetId="21" hidden="1">#REF!</definedName>
    <definedName name="XRefPaste2Row" localSheetId="6" hidden="1">#REF!</definedName>
    <definedName name="XRefPaste2Row" localSheetId="7" hidden="1">#REF!</definedName>
    <definedName name="XRefPaste2Row" hidden="1">#REF!</definedName>
    <definedName name="XRefPasteRangeCount" hidden="1">2</definedName>
    <definedName name="XX_INCH_PIN" localSheetId="14">#REF!</definedName>
    <definedName name="XX_INCH_PIN" localSheetId="27">#REF!</definedName>
    <definedName name="XX_INCH_PIN" localSheetId="8">'4. Individual Pin Gages'!$B$51:$B$60</definedName>
    <definedName name="XX_INCH_PIN" localSheetId="13">'[1]Pin Gages'!$B$52:$B$61</definedName>
    <definedName name="XX_INCH_PIN">#REF!</definedName>
    <definedName name="XX_METRIC_PIN" localSheetId="14">#REF!</definedName>
    <definedName name="XX_METRIC_PIN" localSheetId="27">#REF!</definedName>
    <definedName name="XX_METRIC_PIN" localSheetId="8">'4. Individual Pin Gages'!$E$51:$E$60</definedName>
    <definedName name="XX_METRIC_PIN" localSheetId="13">'[1]Pin Gages'!$E$52:$E$61</definedName>
    <definedName name="XX_METRIC_PIN">#REF!</definedName>
    <definedName name="Year1" localSheetId="21">#REF!</definedName>
    <definedName name="Year1" localSheetId="6">#REF!</definedName>
    <definedName name="Year1" localSheetId="26">#REF!</definedName>
    <definedName name="Year1" localSheetId="7">#REF!</definedName>
    <definedName name="Year1" localSheetId="8">#REF!</definedName>
    <definedName name="Year1">#REF!</definedName>
    <definedName name="yes" localSheetId="14" hidden="1">#REF!</definedName>
    <definedName name="yes" localSheetId="21" hidden="1">#REF!</definedName>
    <definedName name="yes" localSheetId="6" hidden="1">#REF!</definedName>
    <definedName name="yes" localSheetId="26" hidden="1">#REF!</definedName>
    <definedName name="yes" localSheetId="27" hidden="1">#REF!</definedName>
    <definedName name="yes" localSheetId="7" hidden="1">#REF!</definedName>
    <definedName name="yes" localSheetId="8" hidden="1">#REF!</definedName>
    <definedName name="yes" localSheetId="13" hidden="1">#REF!</definedName>
    <definedName name="yes" hidden="1">#REF!</definedName>
    <definedName name="Z_2F0BD9A2_457D_11D2_8EE8_0060971217D4_.wvu.PrintArea" localSheetId="21" hidden="1">#REF!</definedName>
    <definedName name="Z_2F0BD9A2_457D_11D2_8EE8_0060971217D4_.wvu.PrintArea" localSheetId="6" hidden="1">#REF!</definedName>
    <definedName name="Z_2F0BD9A2_457D_11D2_8EE8_0060971217D4_.wvu.PrintArea" localSheetId="26" hidden="1">#REF!</definedName>
    <definedName name="Z_2F0BD9A2_457D_11D2_8EE8_0060971217D4_.wvu.PrintArea" localSheetId="7" hidden="1">#REF!</definedName>
    <definedName name="Z_2F0BD9A2_457D_11D2_8EE8_0060971217D4_.wvu.PrintArea" localSheetId="8" hidden="1">#REF!</definedName>
    <definedName name="Z_2F0BD9A2_457D_11D2_8EE8_0060971217D4_.wvu.PrintArea" hidden="1">#REF!</definedName>
    <definedName name="Z_2F0BD9A2_457D_11D2_8EE8_0060971217D4_.wvu.PrintTitles" localSheetId="21" hidden="1">#REF!</definedName>
    <definedName name="Z_2F0BD9A2_457D_11D2_8EE8_0060971217D4_.wvu.PrintTitles" localSheetId="6" hidden="1">#REF!</definedName>
    <definedName name="Z_2F0BD9A2_457D_11D2_8EE8_0060971217D4_.wvu.PrintTitles" localSheetId="7" hidden="1">#REF!</definedName>
    <definedName name="Z_2F0BD9A2_457D_11D2_8EE8_0060971217D4_.wvu.PrintTitles" hidden="1">#REF!</definedName>
    <definedName name="Z_3AB84060_44C7_11D2_8EE8_0060971217D4_.wvu.PrintArea" localSheetId="21" hidden="1">#REF!</definedName>
    <definedName name="Z_3AB84060_44C7_11D2_8EE8_0060971217D4_.wvu.PrintArea" localSheetId="6" hidden="1">#REF!</definedName>
    <definedName name="Z_3AB84060_44C7_11D2_8EE8_0060971217D4_.wvu.PrintArea" localSheetId="7" hidden="1">#REF!</definedName>
    <definedName name="Z_3AB84060_44C7_11D2_8EE8_0060971217D4_.wvu.PrintArea" hidden="1">#REF!</definedName>
    <definedName name="Z_3AB84060_44C7_11D2_8EE8_0060971217D4_.wvu.PrintTitles" localSheetId="21" hidden="1">#REF!</definedName>
    <definedName name="Z_3AB84060_44C7_11D2_8EE8_0060971217D4_.wvu.PrintTitles" localSheetId="6" hidden="1">#REF!</definedName>
    <definedName name="Z_3AB84060_44C7_11D2_8EE8_0060971217D4_.wvu.PrintTitles" localSheetId="7" hidden="1">#REF!</definedName>
    <definedName name="Z_3AB84060_44C7_11D2_8EE8_0060971217D4_.wvu.PrintTitles" hidden="1">#REF!</definedName>
    <definedName name="Z_C2C0FF43_603F_11D2_A368_00001C3AD7D3_.wvu.PrintArea" localSheetId="21" hidden="1">#REF!</definedName>
    <definedName name="Z_C2C0FF43_603F_11D2_A368_00001C3AD7D3_.wvu.PrintArea" localSheetId="6" hidden="1">#REF!</definedName>
    <definedName name="Z_C2C0FF43_603F_11D2_A368_00001C3AD7D3_.wvu.PrintArea" localSheetId="7" hidden="1">#REF!</definedName>
    <definedName name="Z_C2C0FF43_603F_11D2_A368_00001C3AD7D3_.wvu.PrintArea" hidden="1">#REF!</definedName>
    <definedName name="Z_C2C0FF43_603F_11D2_A368_00001C3AD7D3_.wvu.PrintTitles" localSheetId="21" hidden="1">#REF!</definedName>
    <definedName name="Z_C2C0FF43_603F_11D2_A368_00001C3AD7D3_.wvu.PrintTitles" localSheetId="6" hidden="1">#REF!</definedName>
    <definedName name="Z_C2C0FF43_603F_11D2_A368_00001C3AD7D3_.wvu.PrintTitles" localSheetId="7" hidden="1">#REF!</definedName>
    <definedName name="Z_C2C0FF43_603F_11D2_A368_00001C3AD7D3_.wvu.PrintTitles" hidden="1">#REF!</definedName>
    <definedName name="Z_D068BBA0_44C0_11D2_8EE8_0060971217D4_.wvu.Cols" localSheetId="21" hidden="1">#REF!,#REF!,#REF!,#REF!</definedName>
    <definedName name="Z_D068BBA0_44C0_11D2_8EE8_0060971217D4_.wvu.Cols" localSheetId="6" hidden="1">#REF!,#REF!,#REF!,#REF!</definedName>
    <definedName name="Z_D068BBA0_44C0_11D2_8EE8_0060971217D4_.wvu.Cols" localSheetId="26" hidden="1">#REF!,#REF!,#REF!,#REF!</definedName>
    <definedName name="Z_D068BBA0_44C0_11D2_8EE8_0060971217D4_.wvu.Cols" localSheetId="7" hidden="1">#REF!,#REF!,#REF!,#REF!</definedName>
    <definedName name="Z_D068BBA0_44C0_11D2_8EE8_0060971217D4_.wvu.Cols" localSheetId="13" hidden="1">#REF!,#REF!,#REF!,#REF!</definedName>
    <definedName name="Z_D068BBA0_44C0_11D2_8EE8_0060971217D4_.wvu.Cols" hidden="1">#REF!,#REF!,#REF!,#REF!</definedName>
    <definedName name="Z_D068BBA0_44C0_11D2_8EE8_0060971217D4_.wvu.PrintArea" localSheetId="21" hidden="1">#REF!</definedName>
    <definedName name="Z_D068BBA0_44C0_11D2_8EE8_0060971217D4_.wvu.PrintArea" localSheetId="6" hidden="1">#REF!</definedName>
    <definedName name="Z_D068BBA0_44C0_11D2_8EE8_0060971217D4_.wvu.PrintArea" localSheetId="26" hidden="1">#REF!</definedName>
    <definedName name="Z_D068BBA0_44C0_11D2_8EE8_0060971217D4_.wvu.PrintArea" localSheetId="7" hidden="1">#REF!</definedName>
    <definedName name="Z_D068BBA0_44C0_11D2_8EE8_0060971217D4_.wvu.PrintArea" localSheetId="8" hidden="1">#REF!</definedName>
    <definedName name="Z_D068BBA0_44C0_11D2_8EE8_0060971217D4_.wvu.PrintArea" localSheetId="13" hidden="1">#REF!</definedName>
    <definedName name="Z_D068BBA0_44C0_11D2_8EE8_0060971217D4_.wvu.PrintArea" hidden="1">#REF!</definedName>
    <definedName name="Z_INCH_PIN" localSheetId="14">#REF!</definedName>
    <definedName name="Z_INCH_PIN" localSheetId="27">#REF!</definedName>
    <definedName name="Z_INCH_PIN" localSheetId="8">'4. Individual Pin Gages'!$B$17:$B$26</definedName>
    <definedName name="Z_INCH_PIN" localSheetId="13">'[1]Pin Gages'!$B$20:$B$29</definedName>
    <definedName name="Z_INCH_PIN">#REF!</definedName>
    <definedName name="Z_METRIC_PIN" localSheetId="14">#REF!</definedName>
    <definedName name="Z_METRIC_PIN" localSheetId="27">#REF!</definedName>
    <definedName name="Z_METRIC_PIN" localSheetId="8">'4. Individual Pin Gages'!$E$17:$E$26</definedName>
    <definedName name="Z_METRIC_PIN" localSheetId="13">'[1]Pin Gages'!$E$20:$E$29</definedName>
    <definedName name="Z_METRIC_PIN">#REF!</definedName>
    <definedName name="Zone_utile" localSheetId="21">#REF!</definedName>
    <definedName name="Zone_utile" localSheetId="6">#REF!</definedName>
    <definedName name="Zone_utile" localSheetId="26">#REF!</definedName>
    <definedName name="Zone_utile" localSheetId="7">#REF!</definedName>
    <definedName name="Zone_utile" localSheetId="8">#REF!</definedName>
    <definedName name="Zone_uti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68" l="1"/>
  <c r="B13" i="68"/>
  <c r="R15" i="91" l="1"/>
  <c r="R20" i="91" l="1"/>
  <c r="R19" i="91"/>
  <c r="R18" i="91"/>
  <c r="R17" i="91"/>
  <c r="R16" i="91"/>
  <c r="Q20" i="91"/>
  <c r="Q19" i="91"/>
  <c r="Q18" i="91"/>
  <c r="Q17" i="91"/>
  <c r="Q16" i="91"/>
  <c r="Q15" i="91"/>
  <c r="D15" i="91" l="1"/>
  <c r="N43" i="71" l="1"/>
  <c r="N41" i="71"/>
  <c r="N39" i="71"/>
  <c r="N35" i="71"/>
  <c r="N34" i="71"/>
  <c r="N33" i="71"/>
  <c r="N32" i="71"/>
  <c r="N31" i="71"/>
  <c r="N30" i="71"/>
  <c r="N29" i="71"/>
  <c r="N28" i="71"/>
  <c r="N27" i="71"/>
  <c r="N26" i="71"/>
  <c r="N25" i="71"/>
  <c r="N24" i="71"/>
  <c r="L13" i="71"/>
  <c r="AG48" i="58"/>
  <c r="AG34" i="58"/>
  <c r="AG19" i="58"/>
  <c r="R51" i="82"/>
  <c r="R53" i="82"/>
  <c r="R55" i="82"/>
  <c r="R57" i="82"/>
  <c r="R59" i="82"/>
  <c r="R49" i="82"/>
  <c r="Q51" i="82"/>
  <c r="Q53" i="82"/>
  <c r="Q55" i="82"/>
  <c r="Q57" i="82"/>
  <c r="Q59" i="82"/>
  <c r="Q49" i="82"/>
  <c r="R11" i="82"/>
  <c r="R13" i="82"/>
  <c r="R15" i="82"/>
  <c r="R17" i="82"/>
  <c r="R19" i="82"/>
  <c r="R21" i="82"/>
  <c r="R23" i="82"/>
  <c r="R25" i="82"/>
  <c r="R27" i="82"/>
  <c r="R29" i="82"/>
  <c r="R31" i="82"/>
  <c r="R33" i="82"/>
  <c r="R35" i="82"/>
  <c r="R37" i="82"/>
  <c r="R39" i="82"/>
  <c r="R41" i="82"/>
  <c r="R43" i="82"/>
  <c r="Q11" i="82"/>
  <c r="Q13" i="82"/>
  <c r="Q15" i="82"/>
  <c r="Q17" i="82"/>
  <c r="Q19" i="82"/>
  <c r="Q21" i="82"/>
  <c r="Q23" i="82"/>
  <c r="Q25" i="82"/>
  <c r="Q27" i="82"/>
  <c r="Q29" i="82"/>
  <c r="Q31" i="82"/>
  <c r="Q33" i="82"/>
  <c r="Q35" i="82"/>
  <c r="Q37" i="82"/>
  <c r="Q39" i="82"/>
  <c r="Q41" i="82"/>
  <c r="Q43" i="82"/>
  <c r="R9" i="82"/>
  <c r="Q9" i="82"/>
  <c r="AG58" i="83"/>
  <c r="AG56" i="83"/>
  <c r="AG54" i="83"/>
  <c r="AG52" i="83"/>
  <c r="AG50" i="83"/>
  <c r="AG48" i="83"/>
  <c r="AG11" i="83"/>
  <c r="AG13" i="83"/>
  <c r="AG15" i="83"/>
  <c r="AG17" i="83"/>
  <c r="AG19" i="83"/>
  <c r="AG21" i="83"/>
  <c r="AG23" i="83"/>
  <c r="AG25" i="83"/>
  <c r="AG27" i="83"/>
  <c r="AG29" i="83"/>
  <c r="AG31" i="83"/>
  <c r="AG33" i="83"/>
  <c r="AG35" i="83"/>
  <c r="AG37" i="83"/>
  <c r="AG39" i="83"/>
  <c r="AG41" i="83"/>
  <c r="AG43" i="83"/>
  <c r="AG9" i="83"/>
  <c r="AF58" i="83"/>
  <c r="AF56" i="83"/>
  <c r="AF54" i="83"/>
  <c r="AF52" i="83"/>
  <c r="AF50" i="83"/>
  <c r="AF48" i="83"/>
  <c r="AF11" i="83"/>
  <c r="AF13" i="83"/>
  <c r="AF15" i="83"/>
  <c r="AF17" i="83"/>
  <c r="AF19" i="83"/>
  <c r="AF21" i="83"/>
  <c r="AF23" i="83"/>
  <c r="AF25" i="83"/>
  <c r="AF27" i="83"/>
  <c r="AF29" i="83"/>
  <c r="AF31" i="83"/>
  <c r="AF33" i="83"/>
  <c r="AF35" i="83"/>
  <c r="AF37" i="83"/>
  <c r="AF39" i="83"/>
  <c r="AF41" i="83"/>
  <c r="AF43" i="83"/>
  <c r="AF9" i="83"/>
  <c r="N36" i="43"/>
  <c r="M36" i="43"/>
  <c r="K36" i="43"/>
  <c r="J36" i="43"/>
  <c r="X12" i="82"/>
  <c r="U12" i="82"/>
  <c r="W12" i="82"/>
  <c r="T12" i="82"/>
  <c r="AB29" i="43"/>
  <c r="AB27" i="43"/>
  <c r="AB25" i="43"/>
  <c r="AB23" i="43"/>
  <c r="AB22" i="43"/>
  <c r="AB19" i="43"/>
  <c r="AB17" i="43"/>
  <c r="AB16" i="43"/>
  <c r="AB13" i="43"/>
  <c r="AB12" i="43"/>
  <c r="AB11" i="43"/>
  <c r="AB10" i="43"/>
  <c r="X27" i="43"/>
  <c r="X25" i="43"/>
  <c r="X23" i="43"/>
  <c r="X22" i="43"/>
  <c r="X19" i="43"/>
  <c r="X17" i="43"/>
  <c r="X16" i="43"/>
  <c r="X11" i="43"/>
  <c r="X12" i="43"/>
  <c r="X13" i="43"/>
  <c r="X10" i="43"/>
  <c r="Z10" i="43"/>
  <c r="AD33" i="43"/>
  <c r="AD32" i="43"/>
  <c r="AA10" i="43"/>
  <c r="C28" i="84" l="1"/>
  <c r="C26" i="84"/>
  <c r="X12" i="94"/>
  <c r="AD12" i="94" s="1"/>
  <c r="X7" i="94" l="1"/>
  <c r="X8" i="94"/>
  <c r="X9" i="94"/>
  <c r="M15" i="94"/>
  <c r="U15" i="94"/>
  <c r="X15" i="94"/>
  <c r="Y15" i="94"/>
  <c r="AJ15" i="94"/>
  <c r="AK15" i="94" s="1"/>
  <c r="AM15" i="94"/>
  <c r="AO15" i="94"/>
  <c r="AP15" i="94" s="1"/>
  <c r="M16" i="94"/>
  <c r="U16" i="94"/>
  <c r="X16" i="94"/>
  <c r="Y16" i="94"/>
  <c r="AJ16" i="94"/>
  <c r="AK16" i="94" s="1"/>
  <c r="I16" i="94" s="1"/>
  <c r="AM16" i="94"/>
  <c r="AO16" i="94" s="1"/>
  <c r="AP16" i="94" s="1"/>
  <c r="Q16" i="94" s="1"/>
  <c r="M17" i="94"/>
  <c r="U17" i="94"/>
  <c r="X17" i="94"/>
  <c r="Y17" i="94"/>
  <c r="AJ17" i="94"/>
  <c r="AK17" i="94" s="1"/>
  <c r="I17" i="94" s="1"/>
  <c r="AM17" i="94"/>
  <c r="AO17" i="94" s="1"/>
  <c r="AP17" i="94" s="1"/>
  <c r="Q17" i="94" s="1"/>
  <c r="M18" i="94"/>
  <c r="U18" i="94"/>
  <c r="X18" i="94"/>
  <c r="Y18" i="94"/>
  <c r="AJ18" i="94"/>
  <c r="AK18" i="94" s="1"/>
  <c r="I18" i="94" s="1"/>
  <c r="AM18" i="94"/>
  <c r="AO18" i="94" s="1"/>
  <c r="AP18" i="94" s="1"/>
  <c r="Q18" i="94" s="1"/>
  <c r="M19" i="94"/>
  <c r="U19" i="94"/>
  <c r="X19" i="94"/>
  <c r="Y19" i="94"/>
  <c r="AJ19" i="94"/>
  <c r="AK19" i="94"/>
  <c r="I19" i="94" s="1"/>
  <c r="AM19" i="94"/>
  <c r="AO19" i="94" s="1"/>
  <c r="AP19" i="94" s="1"/>
  <c r="Q19" i="94" s="1"/>
  <c r="M20" i="94"/>
  <c r="U20" i="94"/>
  <c r="X20" i="94"/>
  <c r="Y20" i="94"/>
  <c r="AJ20" i="94"/>
  <c r="AK20" i="94" s="1"/>
  <c r="I20" i="94" s="1"/>
  <c r="AM20" i="94"/>
  <c r="AO20" i="94"/>
  <c r="AP20" i="94" s="1"/>
  <c r="Q20" i="94" s="1"/>
  <c r="M21" i="94"/>
  <c r="U21" i="94"/>
  <c r="X21" i="94"/>
  <c r="Y21" i="94"/>
  <c r="AJ21" i="94"/>
  <c r="AK21" i="94" s="1"/>
  <c r="I21" i="94" s="1"/>
  <c r="AM21" i="94"/>
  <c r="AO21" i="94" s="1"/>
  <c r="AP21" i="94" s="1"/>
  <c r="Q21" i="94" s="1"/>
  <c r="J16" i="94" l="1"/>
  <c r="K16" i="94"/>
  <c r="N16" i="94" s="1"/>
  <c r="J19" i="94"/>
  <c r="K19" i="94"/>
  <c r="N19" i="94" s="1"/>
  <c r="Z16" i="94"/>
  <c r="AA21" i="94"/>
  <c r="R21" i="94"/>
  <c r="S21" i="94"/>
  <c r="V21" i="94" s="1"/>
  <c r="Z15" i="94"/>
  <c r="J15" i="94"/>
  <c r="K15" i="94"/>
  <c r="N15" i="94" s="1"/>
  <c r="S20" i="94"/>
  <c r="V20" i="94" s="1"/>
  <c r="R20" i="94"/>
  <c r="AA20" i="94"/>
  <c r="AA16" i="94"/>
  <c r="R16" i="94"/>
  <c r="S16" i="94"/>
  <c r="V16" i="94" s="1"/>
  <c r="Z20" i="94"/>
  <c r="J20" i="94"/>
  <c r="K20" i="94"/>
  <c r="N20" i="94" s="1"/>
  <c r="Z21" i="94"/>
  <c r="J21" i="94"/>
  <c r="K21" i="94"/>
  <c r="N21" i="94" s="1"/>
  <c r="Z17" i="94"/>
  <c r="K17" i="94"/>
  <c r="N17" i="94" s="1"/>
  <c r="J17" i="94"/>
  <c r="AA18" i="94"/>
  <c r="R18" i="94"/>
  <c r="S18" i="94"/>
  <c r="V18" i="94" s="1"/>
  <c r="Z18" i="94"/>
  <c r="J18" i="94"/>
  <c r="K18" i="94"/>
  <c r="N18" i="94" s="1"/>
  <c r="AA15" i="94"/>
  <c r="R15" i="94"/>
  <c r="S15" i="94"/>
  <c r="V15" i="94" s="1"/>
  <c r="S17" i="94"/>
  <c r="V17" i="94" s="1"/>
  <c r="R17" i="94"/>
  <c r="AA17" i="94"/>
  <c r="AA19" i="94"/>
  <c r="R19" i="94"/>
  <c r="S19" i="94"/>
  <c r="V19" i="94" s="1"/>
  <c r="Z19" i="94"/>
  <c r="O45" i="19"/>
  <c r="V15" i="91"/>
  <c r="P15" i="91" s="1"/>
  <c r="V16" i="91"/>
  <c r="P16" i="91" s="1"/>
  <c r="V17" i="91"/>
  <c r="P17" i="91" s="1"/>
  <c r="V18" i="91"/>
  <c r="P18" i="91" s="1"/>
  <c r="V19" i="91"/>
  <c r="P19" i="91" s="1"/>
  <c r="V20" i="91"/>
  <c r="P20" i="91" s="1"/>
  <c r="D36" i="91"/>
  <c r="C36" i="91"/>
  <c r="D35" i="91"/>
  <c r="C35" i="91"/>
  <c r="D34" i="91"/>
  <c r="C34" i="91"/>
  <c r="D33" i="91"/>
  <c r="C33" i="91"/>
  <c r="D32" i="91"/>
  <c r="C32" i="91"/>
  <c r="D31" i="91"/>
  <c r="C31" i="91"/>
  <c r="D30" i="91"/>
  <c r="C30" i="91"/>
  <c r="D29" i="91"/>
  <c r="C29" i="91"/>
  <c r="D28" i="91"/>
  <c r="C28" i="91"/>
  <c r="D27" i="91"/>
  <c r="C27" i="91"/>
  <c r="D26" i="91"/>
  <c r="C26" i="91"/>
  <c r="D25" i="91"/>
  <c r="C25" i="91"/>
  <c r="Z20" i="91"/>
  <c r="AE20" i="91" s="1"/>
  <c r="S20" i="91"/>
  <c r="N20" i="91"/>
  <c r="L20" i="91"/>
  <c r="M20" i="91" s="1"/>
  <c r="F20" i="91"/>
  <c r="B20" i="91"/>
  <c r="Z19" i="91"/>
  <c r="AE19" i="91" s="1"/>
  <c r="S19" i="91"/>
  <c r="N19" i="91"/>
  <c r="L19" i="91"/>
  <c r="M19" i="91" s="1"/>
  <c r="F19" i="91"/>
  <c r="E20" i="91" s="1"/>
  <c r="B19" i="91"/>
  <c r="Z18" i="91"/>
  <c r="AE18" i="91" s="1"/>
  <c r="S18" i="91"/>
  <c r="N18" i="91"/>
  <c r="L18" i="91"/>
  <c r="M18" i="91" s="1"/>
  <c r="F18" i="91"/>
  <c r="E19" i="91" s="1"/>
  <c r="B18" i="91"/>
  <c r="Z17" i="91"/>
  <c r="AE17" i="91" s="1"/>
  <c r="S17" i="91"/>
  <c r="N17" i="91"/>
  <c r="L17" i="91"/>
  <c r="M17" i="91" s="1"/>
  <c r="F17" i="91"/>
  <c r="E18" i="91" s="1"/>
  <c r="B17" i="91"/>
  <c r="Z16" i="91"/>
  <c r="AE16" i="91" s="1"/>
  <c r="S16" i="91"/>
  <c r="N16" i="91"/>
  <c r="L16" i="91"/>
  <c r="M16" i="91" s="1"/>
  <c r="F16" i="91"/>
  <c r="E17" i="91" s="1"/>
  <c r="B16" i="91"/>
  <c r="AA15" i="91"/>
  <c r="AF15" i="91" s="1"/>
  <c r="Z15" i="91"/>
  <c r="AE15" i="91" s="1"/>
  <c r="S15" i="91"/>
  <c r="N15" i="91"/>
  <c r="L15" i="91"/>
  <c r="M15" i="91" s="1"/>
  <c r="F15" i="91"/>
  <c r="P10" i="91"/>
  <c r="P9" i="91"/>
  <c r="P8" i="91"/>
  <c r="M60" i="82"/>
  <c r="M59" i="82"/>
  <c r="M58" i="82"/>
  <c r="M57" i="82"/>
  <c r="M56" i="82"/>
  <c r="M55" i="82"/>
  <c r="M54" i="82"/>
  <c r="M53" i="82"/>
  <c r="M52" i="82"/>
  <c r="M51" i="82"/>
  <c r="M50" i="82"/>
  <c r="M49" i="82"/>
  <c r="M44" i="82"/>
  <c r="M43" i="82"/>
  <c r="M42" i="82"/>
  <c r="M41" i="82"/>
  <c r="M40" i="82"/>
  <c r="M39" i="82"/>
  <c r="M38" i="82"/>
  <c r="M37" i="82"/>
  <c r="M36" i="82"/>
  <c r="M35" i="82"/>
  <c r="M34" i="82"/>
  <c r="M33" i="82"/>
  <c r="M32" i="82"/>
  <c r="M31" i="82"/>
  <c r="M30" i="82"/>
  <c r="M29" i="82"/>
  <c r="M28" i="82"/>
  <c r="M27" i="82"/>
  <c r="M26" i="82"/>
  <c r="M25" i="82"/>
  <c r="M24" i="82"/>
  <c r="M23" i="82"/>
  <c r="M22" i="82"/>
  <c r="M21" i="82"/>
  <c r="M20" i="82"/>
  <c r="M19" i="82"/>
  <c r="M18" i="82"/>
  <c r="M17" i="82"/>
  <c r="M16" i="82"/>
  <c r="M15" i="82"/>
  <c r="M14" i="82"/>
  <c r="M13" i="82"/>
  <c r="M12" i="82"/>
  <c r="M11" i="82"/>
  <c r="M10" i="82"/>
  <c r="M9" i="82"/>
  <c r="N38" i="61"/>
  <c r="N37" i="61"/>
  <c r="N34" i="61"/>
  <c r="N33" i="61"/>
  <c r="N30" i="61"/>
  <c r="N29" i="61"/>
  <c r="N26" i="61"/>
  <c r="N25" i="61"/>
  <c r="N22" i="61"/>
  <c r="N21" i="61"/>
  <c r="U47" i="60"/>
  <c r="U46" i="60"/>
  <c r="U43" i="60"/>
  <c r="U42" i="60"/>
  <c r="U39" i="60"/>
  <c r="U38" i="60"/>
  <c r="U35" i="60"/>
  <c r="U34" i="60"/>
  <c r="U31" i="60"/>
  <c r="U30" i="60"/>
  <c r="U27" i="60"/>
  <c r="U26" i="60"/>
  <c r="U23" i="60"/>
  <c r="U22" i="60"/>
  <c r="O49" i="82"/>
  <c r="N49" i="82"/>
  <c r="O9" i="82"/>
  <c r="N9" i="82"/>
  <c r="W59" i="83"/>
  <c r="W58" i="83"/>
  <c r="W57" i="83"/>
  <c r="W56" i="83"/>
  <c r="W55" i="83"/>
  <c r="W54" i="83"/>
  <c r="W53" i="83"/>
  <c r="W52" i="83"/>
  <c r="W51" i="83"/>
  <c r="W50" i="83"/>
  <c r="W49" i="83"/>
  <c r="W48" i="83"/>
  <c r="W44" i="83"/>
  <c r="W43" i="83"/>
  <c r="W42" i="83"/>
  <c r="W41" i="83"/>
  <c r="W40" i="83"/>
  <c r="W39" i="83"/>
  <c r="W38" i="83"/>
  <c r="W37" i="83"/>
  <c r="W36" i="83"/>
  <c r="W35" i="83"/>
  <c r="W34" i="83"/>
  <c r="W33" i="83"/>
  <c r="W32" i="83"/>
  <c r="W31" i="83"/>
  <c r="W30" i="83"/>
  <c r="W29" i="83"/>
  <c r="W28" i="83"/>
  <c r="W27" i="83"/>
  <c r="W26" i="83"/>
  <c r="W25" i="83"/>
  <c r="W24" i="83"/>
  <c r="W23" i="83"/>
  <c r="W22" i="83"/>
  <c r="W21" i="83"/>
  <c r="W20" i="83"/>
  <c r="W19" i="83"/>
  <c r="W18" i="83"/>
  <c r="W17" i="83"/>
  <c r="W16" i="83"/>
  <c r="W15" i="83"/>
  <c r="W14" i="83"/>
  <c r="W13" i="83"/>
  <c r="W12" i="83"/>
  <c r="W11" i="83"/>
  <c r="W10" i="83"/>
  <c r="W9" i="83"/>
  <c r="R75" i="83"/>
  <c r="R74" i="83"/>
  <c r="R73" i="83"/>
  <c r="R72" i="83"/>
  <c r="R71" i="83"/>
  <c r="R70" i="83"/>
  <c r="R69" i="83"/>
  <c r="R68" i="83"/>
  <c r="R67" i="83"/>
  <c r="R66" i="83"/>
  <c r="R65" i="83"/>
  <c r="R64" i="83"/>
  <c r="R63" i="83"/>
  <c r="R62" i="83"/>
  <c r="R61" i="83"/>
  <c r="R60" i="83"/>
  <c r="R59" i="83"/>
  <c r="R58" i="83"/>
  <c r="R57" i="83"/>
  <c r="R56" i="83"/>
  <c r="R55" i="83"/>
  <c r="R54" i="83"/>
  <c r="R53" i="83"/>
  <c r="R52" i="83"/>
  <c r="R51" i="83"/>
  <c r="R50" i="83"/>
  <c r="R49" i="83"/>
  <c r="R48" i="83"/>
  <c r="R44" i="83"/>
  <c r="R43" i="83"/>
  <c r="R42" i="83"/>
  <c r="R41" i="83"/>
  <c r="R40" i="83"/>
  <c r="R39" i="83"/>
  <c r="R38" i="83"/>
  <c r="R37" i="83"/>
  <c r="R36" i="83"/>
  <c r="R35" i="83"/>
  <c r="R34" i="83"/>
  <c r="R33" i="83"/>
  <c r="R32" i="83"/>
  <c r="R31" i="83"/>
  <c r="R30" i="83"/>
  <c r="R29" i="83"/>
  <c r="R28" i="83"/>
  <c r="R27" i="83"/>
  <c r="R26" i="83"/>
  <c r="R25" i="83"/>
  <c r="R24" i="83"/>
  <c r="R23" i="83"/>
  <c r="R22" i="83"/>
  <c r="R21" i="83"/>
  <c r="R20" i="83"/>
  <c r="R19" i="83"/>
  <c r="R18" i="83"/>
  <c r="R17" i="83"/>
  <c r="R16" i="83"/>
  <c r="R15" i="83"/>
  <c r="R14" i="83"/>
  <c r="R13" i="83"/>
  <c r="R12" i="83"/>
  <c r="R11" i="83"/>
  <c r="R10" i="83"/>
  <c r="R9" i="83"/>
  <c r="Y48" i="83"/>
  <c r="X48" i="83"/>
  <c r="Y9" i="83"/>
  <c r="X9" i="83"/>
  <c r="T48" i="83"/>
  <c r="S48" i="83"/>
  <c r="T9" i="83"/>
  <c r="S9" i="83"/>
  <c r="Y52" i="30"/>
  <c r="Y51" i="30"/>
  <c r="Y49" i="30"/>
  <c r="Y48" i="30"/>
  <c r="Y47" i="30"/>
  <c r="Y46" i="30"/>
  <c r="Y45" i="30"/>
  <c r="Y44" i="30"/>
  <c r="Y43" i="30"/>
  <c r="Y42" i="30"/>
  <c r="Y41" i="30"/>
  <c r="Y40" i="30"/>
  <c r="Y39" i="30"/>
  <c r="Y38" i="30"/>
  <c r="Y37" i="30"/>
  <c r="Y36" i="30"/>
  <c r="Y26" i="30"/>
  <c r="Y25" i="30"/>
  <c r="Y24" i="30"/>
  <c r="Y23" i="30"/>
  <c r="Y22" i="30"/>
  <c r="Y21" i="30"/>
  <c r="Y20" i="30"/>
  <c r="Y19" i="30"/>
  <c r="Y18" i="30"/>
  <c r="Y17" i="30"/>
  <c r="Y16" i="30"/>
  <c r="Y15" i="30"/>
  <c r="Y14" i="30"/>
  <c r="Y13" i="30"/>
  <c r="Y12" i="30"/>
  <c r="Y11" i="30"/>
  <c r="AD38" i="56"/>
  <c r="AD37" i="56"/>
  <c r="AD34" i="56"/>
  <c r="AD33" i="56"/>
  <c r="AD30" i="56"/>
  <c r="AD29" i="56"/>
  <c r="AD26" i="56"/>
  <c r="AD25" i="56"/>
  <c r="AD22" i="56"/>
  <c r="AD21" i="56"/>
  <c r="W38" i="61"/>
  <c r="W37" i="61"/>
  <c r="W34" i="61"/>
  <c r="W33" i="61"/>
  <c r="W30" i="61"/>
  <c r="W29" i="61"/>
  <c r="W26" i="61"/>
  <c r="W25" i="61"/>
  <c r="W22" i="61"/>
  <c r="W21" i="61"/>
  <c r="Z36" i="61"/>
  <c r="Z32" i="61"/>
  <c r="Z28" i="61"/>
  <c r="Z24" i="61"/>
  <c r="Z20" i="61"/>
  <c r="AK45" i="60"/>
  <c r="AJ45" i="60"/>
  <c r="AI45" i="60"/>
  <c r="AK41" i="60"/>
  <c r="AJ41" i="60"/>
  <c r="AI41" i="60"/>
  <c r="AK37" i="60"/>
  <c r="AJ37" i="60"/>
  <c r="AI37" i="60"/>
  <c r="AK33" i="60"/>
  <c r="AJ33" i="60"/>
  <c r="AI33" i="60"/>
  <c r="AK29" i="60"/>
  <c r="AJ29" i="60"/>
  <c r="AI29" i="60"/>
  <c r="AK25" i="60"/>
  <c r="AJ25" i="60"/>
  <c r="AI25" i="60"/>
  <c r="AK21" i="60"/>
  <c r="AJ21" i="60"/>
  <c r="AI21" i="60"/>
  <c r="AF47" i="60"/>
  <c r="AF46" i="60"/>
  <c r="AF43" i="60"/>
  <c r="AF42" i="60"/>
  <c r="AF39" i="60"/>
  <c r="AF38" i="60"/>
  <c r="AF35" i="60"/>
  <c r="AF34" i="60"/>
  <c r="AF31" i="60"/>
  <c r="AF30" i="60"/>
  <c r="AF27" i="60"/>
  <c r="AF26" i="60"/>
  <c r="AF23" i="60"/>
  <c r="AF22" i="60"/>
  <c r="AI36" i="56"/>
  <c r="AH36" i="56"/>
  <c r="AG36" i="56"/>
  <c r="AI32" i="56"/>
  <c r="AH32" i="56"/>
  <c r="AG32" i="56"/>
  <c r="AI28" i="56"/>
  <c r="AH28" i="56"/>
  <c r="AG28" i="56"/>
  <c r="AI24" i="56"/>
  <c r="AH24" i="56"/>
  <c r="AG24" i="56"/>
  <c r="AI20" i="56"/>
  <c r="AH20" i="56"/>
  <c r="AG20" i="56"/>
  <c r="AF64" i="56"/>
  <c r="AF65" i="56" s="1"/>
  <c r="AF66" i="56" s="1"/>
  <c r="AF67" i="56" s="1"/>
  <c r="AF58" i="56"/>
  <c r="AF59" i="56" s="1"/>
  <c r="AF60" i="56" s="1"/>
  <c r="AF61" i="56" s="1"/>
  <c r="AF52" i="56"/>
  <c r="AF53" i="56" s="1"/>
  <c r="AF54" i="56" s="1"/>
  <c r="AF55" i="56" s="1"/>
  <c r="AF46" i="56"/>
  <c r="AF47" i="56" s="1"/>
  <c r="AF48" i="56" s="1"/>
  <c r="AF49" i="56" s="1"/>
  <c r="AA20" i="91" l="1"/>
  <c r="AF20" i="91" s="1"/>
  <c r="D20" i="91"/>
  <c r="D17" i="91"/>
  <c r="D19" i="91"/>
  <c r="AB18" i="91"/>
  <c r="AB20" i="91"/>
  <c r="AA16" i="91"/>
  <c r="AF16" i="91" s="1"/>
  <c r="D16" i="91"/>
  <c r="AA18" i="91"/>
  <c r="AF18" i="91" s="1"/>
  <c r="D18" i="91"/>
  <c r="E16" i="91"/>
  <c r="AB16" i="91" s="1"/>
  <c r="X15" i="91"/>
  <c r="AD15" i="91" s="1"/>
  <c r="AA17" i="91"/>
  <c r="AB15" i="91"/>
  <c r="AB17" i="91"/>
  <c r="AB19" i="91"/>
  <c r="AA19" i="91"/>
  <c r="AD42" i="89"/>
  <c r="AE18" i="89"/>
  <c r="AD18" i="89"/>
  <c r="AE17" i="89"/>
  <c r="AD17" i="89"/>
  <c r="AE16" i="89"/>
  <c r="AD16" i="89"/>
  <c r="AE15" i="89"/>
  <c r="AD15" i="89"/>
  <c r="AE14" i="89"/>
  <c r="AD14" i="89"/>
  <c r="AE13" i="89"/>
  <c r="AD13" i="89"/>
  <c r="AE12" i="89"/>
  <c r="AD12" i="89"/>
  <c r="AD21" i="89"/>
  <c r="Z64" i="89"/>
  <c r="Y64" i="89"/>
  <c r="Z63" i="89"/>
  <c r="Y63" i="89"/>
  <c r="Z62" i="89"/>
  <c r="Y62" i="89"/>
  <c r="Z61" i="89"/>
  <c r="Y61" i="89"/>
  <c r="Z60" i="89"/>
  <c r="Y60" i="89"/>
  <c r="Z59" i="89"/>
  <c r="Y59" i="89"/>
  <c r="Z58" i="89"/>
  <c r="Y58" i="89"/>
  <c r="Z57" i="89"/>
  <c r="Y57" i="89"/>
  <c r="Z56" i="89"/>
  <c r="Y56" i="89"/>
  <c r="Z55" i="89"/>
  <c r="Y55" i="89"/>
  <c r="Z54" i="89"/>
  <c r="Y54" i="89"/>
  <c r="Z53" i="89"/>
  <c r="Y53" i="89"/>
  <c r="Z52" i="89"/>
  <c r="Y52" i="89"/>
  <c r="Z51" i="89"/>
  <c r="Y51" i="89"/>
  <c r="Z50" i="89"/>
  <c r="Y50" i="89"/>
  <c r="Z49" i="89"/>
  <c r="Y49" i="89"/>
  <c r="Z48" i="89"/>
  <c r="Y48" i="89"/>
  <c r="Z47" i="89"/>
  <c r="Y47" i="89"/>
  <c r="Z46" i="89"/>
  <c r="Y46" i="89"/>
  <c r="Z45" i="89"/>
  <c r="Y45" i="89"/>
  <c r="Z44" i="89"/>
  <c r="Y44" i="89"/>
  <c r="Z43" i="89"/>
  <c r="Y43" i="89"/>
  <c r="Z42" i="89"/>
  <c r="Y42" i="89"/>
  <c r="Z41" i="89"/>
  <c r="Y41" i="89"/>
  <c r="Z40" i="89"/>
  <c r="Y40" i="89"/>
  <c r="Z39" i="89"/>
  <c r="Y39" i="89"/>
  <c r="Z38" i="89"/>
  <c r="Y38" i="89"/>
  <c r="Z37" i="89"/>
  <c r="Y37" i="89"/>
  <c r="Z36" i="89"/>
  <c r="Y36" i="89"/>
  <c r="AE42" i="89"/>
  <c r="Z35" i="89"/>
  <c r="Y35" i="89"/>
  <c r="M42" i="89"/>
  <c r="AE41" i="89"/>
  <c r="AD41" i="89"/>
  <c r="Z34" i="89"/>
  <c r="Y34" i="89"/>
  <c r="M41" i="89"/>
  <c r="AE40" i="89"/>
  <c r="AD40" i="89"/>
  <c r="Z33" i="89"/>
  <c r="Y33" i="89"/>
  <c r="M40" i="89"/>
  <c r="AE39" i="89"/>
  <c r="AD39" i="89"/>
  <c r="Z32" i="89"/>
  <c r="Y32" i="89"/>
  <c r="M39" i="89"/>
  <c r="AE38" i="89"/>
  <c r="AD38" i="89"/>
  <c r="Z31" i="89"/>
  <c r="Y31" i="89"/>
  <c r="M38" i="89"/>
  <c r="AE37" i="89"/>
  <c r="AD37" i="89"/>
  <c r="Z30" i="89"/>
  <c r="Y30" i="89"/>
  <c r="M37" i="89"/>
  <c r="AE36" i="89"/>
  <c r="AD36" i="89"/>
  <c r="Z29" i="89"/>
  <c r="Y29" i="89"/>
  <c r="M36" i="89"/>
  <c r="AE35" i="89"/>
  <c r="AD35" i="89"/>
  <c r="Z28" i="89"/>
  <c r="Y28" i="89"/>
  <c r="M35" i="89"/>
  <c r="AE34" i="89"/>
  <c r="AD34" i="89"/>
  <c r="Z27" i="89"/>
  <c r="Y27" i="89"/>
  <c r="M34" i="89"/>
  <c r="AE33" i="89"/>
  <c r="AD33" i="89"/>
  <c r="Z26" i="89"/>
  <c r="Y26" i="89"/>
  <c r="M33" i="89"/>
  <c r="AE32" i="89"/>
  <c r="AD32" i="89"/>
  <c r="Z25" i="89"/>
  <c r="Y25" i="89"/>
  <c r="M32" i="89"/>
  <c r="AE31" i="89"/>
  <c r="AD31" i="89"/>
  <c r="Z24" i="89"/>
  <c r="Y24" i="89"/>
  <c r="M31" i="89"/>
  <c r="AE30" i="89"/>
  <c r="AD30" i="89"/>
  <c r="Z23" i="89"/>
  <c r="Y23" i="89"/>
  <c r="M30" i="89"/>
  <c r="AE29" i="89"/>
  <c r="AD29" i="89"/>
  <c r="Z22" i="89"/>
  <c r="Y22" i="89"/>
  <c r="M29" i="89"/>
  <c r="AE28" i="89"/>
  <c r="AD28" i="89"/>
  <c r="Z21" i="89"/>
  <c r="Y21" i="89"/>
  <c r="M28" i="89"/>
  <c r="AE27" i="89"/>
  <c r="AD27" i="89"/>
  <c r="Z20" i="89"/>
  <c r="Y20" i="89"/>
  <c r="M27" i="89"/>
  <c r="AE26" i="89"/>
  <c r="AD26" i="89"/>
  <c r="Z19" i="89"/>
  <c r="Y19" i="89"/>
  <c r="M26" i="89"/>
  <c r="AE25" i="89"/>
  <c r="AD25" i="89"/>
  <c r="Z18" i="89"/>
  <c r="Y18" i="89"/>
  <c r="M25" i="89"/>
  <c r="AE24" i="89"/>
  <c r="AD24" i="89"/>
  <c r="Z17" i="89"/>
  <c r="Y17" i="89"/>
  <c r="M24" i="89"/>
  <c r="AE23" i="89"/>
  <c r="AD23" i="89"/>
  <c r="Z16" i="89"/>
  <c r="Y16" i="89"/>
  <c r="M23" i="89"/>
  <c r="AE22" i="89"/>
  <c r="AD22" i="89"/>
  <c r="Z15" i="89"/>
  <c r="Y15" i="89"/>
  <c r="M22" i="89"/>
  <c r="AE21" i="89"/>
  <c r="Z14" i="89"/>
  <c r="Y14" i="89"/>
  <c r="M21" i="89"/>
  <c r="AE20" i="89"/>
  <c r="AD20" i="89"/>
  <c r="Z13" i="89"/>
  <c r="Y13" i="89"/>
  <c r="M20" i="89"/>
  <c r="AE19" i="89"/>
  <c r="AD19" i="89"/>
  <c r="Z12" i="89"/>
  <c r="Y12" i="89"/>
  <c r="M19" i="89"/>
  <c r="W7" i="89"/>
  <c r="W6" i="89"/>
  <c r="X20" i="91" l="1"/>
  <c r="AD20" i="91" s="1"/>
  <c r="X18" i="91"/>
  <c r="AD18" i="91" s="1"/>
  <c r="X16" i="91"/>
  <c r="AD16" i="91" s="1"/>
  <c r="AF17" i="91"/>
  <c r="X17" i="91"/>
  <c r="AD17" i="91" s="1"/>
  <c r="AF19" i="91"/>
  <c r="X19" i="91"/>
  <c r="AD19" i="91" s="1"/>
  <c r="L9" i="71"/>
  <c r="AA29" i="43" l="1"/>
  <c r="AE29" i="43" s="1"/>
  <c r="Z29" i="43"/>
  <c r="N29" i="43" s="1"/>
  <c r="AA17" i="43" l="1"/>
  <c r="AE17" i="43" s="1"/>
  <c r="AA16" i="43"/>
  <c r="AE16" i="43" s="1"/>
  <c r="Z17" i="43"/>
  <c r="N17" i="43" s="1"/>
  <c r="W17" i="43"/>
  <c r="AD17" i="43" s="1"/>
  <c r="W16" i="43"/>
  <c r="AD16" i="43" s="1"/>
  <c r="AA19" i="43"/>
  <c r="AE19" i="43" s="1"/>
  <c r="AA23" i="43"/>
  <c r="AE23" i="43" s="1"/>
  <c r="AA22" i="43"/>
  <c r="AE22" i="43" s="1"/>
  <c r="AA25" i="43"/>
  <c r="AE25" i="43" s="1"/>
  <c r="AA27" i="43"/>
  <c r="AE27" i="43" s="1"/>
  <c r="W27" i="43"/>
  <c r="AD27" i="43" s="1"/>
  <c r="W25" i="43"/>
  <c r="AD25" i="43" s="1"/>
  <c r="W23" i="43"/>
  <c r="AD23" i="43" s="1"/>
  <c r="W22" i="43"/>
  <c r="AD22" i="43" s="1"/>
  <c r="W19" i="43"/>
  <c r="AD19" i="43" s="1"/>
  <c r="AA11" i="43"/>
  <c r="AE11" i="43" s="1"/>
  <c r="AA12" i="43"/>
  <c r="AE12" i="43" s="1"/>
  <c r="AA13" i="43"/>
  <c r="AE13" i="43" s="1"/>
  <c r="AE10" i="43"/>
  <c r="W10" i="43"/>
  <c r="AD10" i="43" s="1"/>
  <c r="Z11" i="43"/>
  <c r="N11" i="43" s="1"/>
  <c r="Z12" i="43"/>
  <c r="N12" i="43" s="1"/>
  <c r="Z13" i="43"/>
  <c r="N13" i="43" s="1"/>
  <c r="Z16" i="43"/>
  <c r="N16" i="43" s="1"/>
  <c r="N10" i="43"/>
  <c r="W11" i="43"/>
  <c r="AD11" i="43" s="1"/>
  <c r="W12" i="43"/>
  <c r="AD12" i="43" s="1"/>
  <c r="W13" i="43"/>
  <c r="AD13" i="43" s="1"/>
  <c r="V17" i="43"/>
  <c r="M17" i="43" s="1"/>
  <c r="V16" i="43"/>
  <c r="M16" i="43" s="1"/>
  <c r="V11" i="43"/>
  <c r="M11" i="43" s="1"/>
  <c r="V12" i="43"/>
  <c r="M12" i="43" s="1"/>
  <c r="V13" i="43"/>
  <c r="M13" i="43" s="1"/>
  <c r="V10" i="43"/>
  <c r="M10" i="43" s="1"/>
  <c r="Z19" i="43" l="1"/>
  <c r="N19" i="43" s="1"/>
  <c r="Z27" i="43"/>
  <c r="N27" i="43" s="1"/>
  <c r="Z25" i="43"/>
  <c r="N25" i="43" s="1"/>
  <c r="Z23" i="43"/>
  <c r="N23" i="43" s="1"/>
  <c r="Z22" i="43"/>
  <c r="N22" i="43" s="1"/>
  <c r="V19" i="43"/>
  <c r="M19" i="43" s="1"/>
  <c r="V23" i="43"/>
  <c r="M23" i="43" s="1"/>
  <c r="V22" i="43"/>
  <c r="M22" i="43" s="1"/>
  <c r="V25" i="43"/>
  <c r="M25" i="43" s="1"/>
  <c r="V27" i="43"/>
  <c r="M27" i="43" s="1"/>
  <c r="S67" i="61"/>
  <c r="S68" i="61" s="1"/>
  <c r="S69" i="61" s="1"/>
  <c r="S70" i="61" s="1"/>
  <c r="S61" i="61"/>
  <c r="S62" i="61" s="1"/>
  <c r="S63" i="61" s="1"/>
  <c r="S64" i="61" s="1"/>
  <c r="S55" i="61"/>
  <c r="S56" i="61" s="1"/>
  <c r="S57" i="61" s="1"/>
  <c r="S58" i="61" s="1"/>
  <c r="S49" i="61"/>
  <c r="S50" i="61" s="1"/>
  <c r="S51" i="61" s="1"/>
  <c r="S52" i="61" s="1"/>
  <c r="Y79" i="60"/>
  <c r="Y80" i="60" s="1"/>
  <c r="Y81" i="60" s="1"/>
  <c r="Y82" i="60" s="1"/>
  <c r="Y83" i="60" s="1"/>
  <c r="Y84" i="60" s="1"/>
  <c r="Y71" i="60"/>
  <c r="Y72" i="60" s="1"/>
  <c r="Y73" i="60" s="1"/>
  <c r="Y74" i="60" s="1"/>
  <c r="Y75" i="60" s="1"/>
  <c r="Y76" i="60" s="1"/>
  <c r="Y63" i="60"/>
  <c r="Y64" i="60" s="1"/>
  <c r="Y65" i="60" s="1"/>
  <c r="Y66" i="60" s="1"/>
  <c r="Y67" i="60" s="1"/>
  <c r="Y68" i="60" s="1"/>
  <c r="Y55" i="60"/>
  <c r="Y56" i="60" s="1"/>
  <c r="Y57" i="60" s="1"/>
  <c r="Y58" i="60" s="1"/>
  <c r="Y59" i="60" s="1"/>
  <c r="Y60" i="60" s="1"/>
  <c r="G46" i="60"/>
  <c r="G42" i="60"/>
  <c r="G38" i="60"/>
  <c r="G34" i="60"/>
  <c r="G30" i="60"/>
  <c r="G26" i="60"/>
  <c r="G22" i="60"/>
  <c r="W64" i="56"/>
  <c r="W65" i="56" s="1"/>
  <c r="W66" i="56" s="1"/>
  <c r="W67" i="56" s="1"/>
  <c r="W58" i="56"/>
  <c r="W59" i="56" s="1"/>
  <c r="W60" i="56" s="1"/>
  <c r="W61" i="56" s="1"/>
  <c r="W46" i="56"/>
  <c r="W47" i="56" s="1"/>
  <c r="W48" i="56" s="1"/>
  <c r="W49" i="56" s="1"/>
  <c r="W52" i="56"/>
  <c r="W53" i="56" s="1"/>
  <c r="W54" i="56" s="1"/>
  <c r="W55" i="56" s="1"/>
  <c r="H20" i="71"/>
  <c r="I20" i="71" s="1"/>
  <c r="G35" i="60" l="1"/>
  <c r="AI34" i="60"/>
  <c r="AK34" i="60"/>
  <c r="AJ34" i="60"/>
  <c r="G43" i="60"/>
  <c r="AI42" i="60"/>
  <c r="AK42" i="60"/>
  <c r="AJ42" i="60"/>
  <c r="G27" i="60"/>
  <c r="AI26" i="60"/>
  <c r="AK26" i="60"/>
  <c r="AJ26" i="60"/>
  <c r="G39" i="60"/>
  <c r="AK38" i="60"/>
  <c r="AJ38" i="60"/>
  <c r="AI38" i="60"/>
  <c r="G47" i="60"/>
  <c r="AI46" i="60"/>
  <c r="AK46" i="60"/>
  <c r="AJ46" i="60"/>
  <c r="G23" i="60"/>
  <c r="AI22" i="60"/>
  <c r="AK22" i="60"/>
  <c r="AJ22" i="60"/>
  <c r="G31" i="60"/>
  <c r="AI30" i="60"/>
  <c r="AK30" i="60"/>
  <c r="AJ30" i="60"/>
  <c r="H19" i="71"/>
  <c r="I19" i="71" s="1"/>
  <c r="G24" i="60" l="1"/>
  <c r="AI23" i="60"/>
  <c r="AK23" i="60"/>
  <c r="AJ23" i="60"/>
  <c r="G28" i="60"/>
  <c r="AK27" i="60"/>
  <c r="AI27" i="60"/>
  <c r="AJ27" i="60"/>
  <c r="G44" i="60"/>
  <c r="AK43" i="60"/>
  <c r="AJ43" i="60"/>
  <c r="AI43" i="60"/>
  <c r="G48" i="60"/>
  <c r="AK47" i="60"/>
  <c r="AI47" i="60"/>
  <c r="AJ47" i="60"/>
  <c r="G32" i="60"/>
  <c r="AI31" i="60"/>
  <c r="AK31" i="60"/>
  <c r="AJ31" i="60"/>
  <c r="G40" i="60"/>
  <c r="AJ39" i="60"/>
  <c r="AK39" i="60"/>
  <c r="AI39" i="60"/>
  <c r="G36" i="60"/>
  <c r="AJ35" i="60"/>
  <c r="AK35" i="60"/>
  <c r="AI35" i="60"/>
  <c r="C18" i="84"/>
  <c r="C19" i="84"/>
  <c r="C20" i="84"/>
  <c r="C21" i="84"/>
  <c r="C22" i="84"/>
  <c r="C24" i="84"/>
  <c r="C25" i="84"/>
  <c r="C27" i="84"/>
  <c r="C29" i="84"/>
  <c r="C30" i="84"/>
  <c r="C31" i="84"/>
  <c r="C32" i="84"/>
  <c r="C34" i="84"/>
  <c r="C35" i="84"/>
  <c r="C36" i="84"/>
  <c r="C37" i="84"/>
  <c r="C38" i="84"/>
  <c r="C39" i="84"/>
  <c r="AK40" i="60" l="1"/>
  <c r="AI40" i="60"/>
  <c r="AJ40" i="60"/>
  <c r="AI44" i="60"/>
  <c r="AK44" i="60"/>
  <c r="AJ44" i="60"/>
  <c r="AK32" i="60"/>
  <c r="AJ32" i="60"/>
  <c r="AI32" i="60"/>
  <c r="AI28" i="60"/>
  <c r="AK28" i="60"/>
  <c r="AJ28" i="60"/>
  <c r="AI36" i="60"/>
  <c r="AK36" i="60"/>
  <c r="AJ36" i="60"/>
  <c r="AI48" i="60"/>
  <c r="AK48" i="60"/>
  <c r="AJ48" i="60"/>
  <c r="AK24" i="60"/>
  <c r="AJ24" i="60"/>
  <c r="AI24" i="60"/>
  <c r="AB17" i="53"/>
  <c r="AF17" i="53" s="1"/>
  <c r="AG25" i="63"/>
  <c r="AG24" i="63"/>
  <c r="AG23" i="63"/>
  <c r="AG22" i="63"/>
  <c r="AG21" i="63"/>
  <c r="AG20" i="63"/>
  <c r="AG19" i="63"/>
  <c r="AG18" i="63"/>
  <c r="AG17" i="63"/>
  <c r="AG16" i="63"/>
  <c r="AG15" i="63"/>
  <c r="AG14" i="63"/>
  <c r="N49" i="83"/>
  <c r="M49" i="83"/>
  <c r="V46" i="83"/>
  <c r="D75" i="83"/>
  <c r="D74" i="83"/>
  <c r="D73" i="83"/>
  <c r="D72" i="83"/>
  <c r="D71" i="83"/>
  <c r="D70" i="83"/>
  <c r="D69" i="83"/>
  <c r="D68" i="83"/>
  <c r="D67" i="83"/>
  <c r="D66" i="83"/>
  <c r="D65" i="83"/>
  <c r="D64" i="83"/>
  <c r="D63" i="83"/>
  <c r="D62" i="83"/>
  <c r="D61" i="83"/>
  <c r="D60" i="83"/>
  <c r="D59" i="83"/>
  <c r="D58" i="83"/>
  <c r="D57" i="83"/>
  <c r="D56" i="83"/>
  <c r="D55" i="83"/>
  <c r="D54" i="83"/>
  <c r="D53" i="83"/>
  <c r="D52" i="83"/>
  <c r="D51" i="83"/>
  <c r="D50" i="83"/>
  <c r="G49" i="83"/>
  <c r="F49" i="83"/>
  <c r="D49" i="83"/>
  <c r="D48" i="83"/>
  <c r="Q46" i="83"/>
  <c r="N10" i="83"/>
  <c r="M10" i="83"/>
  <c r="V7" i="83"/>
  <c r="D44" i="83"/>
  <c r="D43" i="83"/>
  <c r="D42" i="83"/>
  <c r="D41" i="83"/>
  <c r="D40" i="83"/>
  <c r="D39" i="83"/>
  <c r="D38" i="83"/>
  <c r="D37" i="83"/>
  <c r="D36" i="83"/>
  <c r="D35" i="83"/>
  <c r="D34" i="83"/>
  <c r="D33" i="83"/>
  <c r="D32" i="83"/>
  <c r="D31" i="83"/>
  <c r="D30" i="83"/>
  <c r="D29" i="83"/>
  <c r="D28" i="83"/>
  <c r="D27" i="83"/>
  <c r="D26" i="83"/>
  <c r="D25" i="83"/>
  <c r="D24" i="83"/>
  <c r="D23" i="83"/>
  <c r="D22" i="83"/>
  <c r="D21" i="83"/>
  <c r="D20" i="83"/>
  <c r="D19" i="83"/>
  <c r="D18" i="83"/>
  <c r="D17" i="83"/>
  <c r="D16" i="83"/>
  <c r="D15" i="83"/>
  <c r="D14" i="83"/>
  <c r="D13" i="83"/>
  <c r="D12" i="83"/>
  <c r="D11" i="83"/>
  <c r="G10" i="83"/>
  <c r="F10" i="83"/>
  <c r="D10" i="83"/>
  <c r="D9" i="83"/>
  <c r="Q7" i="83"/>
  <c r="AC35" i="83" l="1"/>
  <c r="AB35" i="83"/>
  <c r="AB54" i="83"/>
  <c r="AC54" i="83"/>
  <c r="AB25" i="83"/>
  <c r="AC25" i="83"/>
  <c r="AB37" i="83"/>
  <c r="AC37" i="83"/>
  <c r="AB68" i="83"/>
  <c r="AC68" i="83"/>
  <c r="AB39" i="83"/>
  <c r="AC39" i="83"/>
  <c r="AC70" i="83"/>
  <c r="AB70" i="83"/>
  <c r="AC11" i="83"/>
  <c r="AB11" i="83"/>
  <c r="AB23" i="83"/>
  <c r="AC23" i="83"/>
  <c r="AB13" i="83"/>
  <c r="AC13" i="83"/>
  <c r="AB56" i="83"/>
  <c r="AC56" i="83"/>
  <c r="AC15" i="83"/>
  <c r="AB15" i="83"/>
  <c r="AB27" i="83"/>
  <c r="AC27" i="83"/>
  <c r="AC48" i="83"/>
  <c r="AB48" i="83"/>
  <c r="AC58" i="83"/>
  <c r="AB58" i="83"/>
  <c r="AC17" i="83"/>
  <c r="AB17" i="83"/>
  <c r="AC29" i="83"/>
  <c r="AB29" i="83"/>
  <c r="AC41" i="83"/>
  <c r="AB41" i="83"/>
  <c r="AB9" i="83"/>
  <c r="AC9" i="83"/>
  <c r="AB60" i="83"/>
  <c r="AC60" i="83"/>
  <c r="AB72" i="83"/>
  <c r="AC72" i="83"/>
  <c r="AC19" i="83"/>
  <c r="AB19" i="83"/>
  <c r="AC31" i="83"/>
  <c r="AB31" i="83"/>
  <c r="AC43" i="83"/>
  <c r="AB43" i="83"/>
  <c r="AC50" i="83"/>
  <c r="AB50" i="83"/>
  <c r="AC62" i="83"/>
  <c r="AB62" i="83"/>
  <c r="AC74" i="83"/>
  <c r="AB74" i="83"/>
  <c r="AC21" i="83"/>
  <c r="AB21" i="83"/>
  <c r="AC33" i="83"/>
  <c r="AB33" i="83"/>
  <c r="AC52" i="83"/>
  <c r="AB52" i="83"/>
  <c r="AC64" i="83"/>
  <c r="AB64" i="83"/>
  <c r="AB66" i="83"/>
  <c r="AC66" i="83"/>
  <c r="N11" i="83"/>
  <c r="N12" i="83" s="1"/>
  <c r="Y12" i="83" s="1"/>
  <c r="Y10" i="83"/>
  <c r="M11" i="83"/>
  <c r="X10" i="83"/>
  <c r="X49" i="83"/>
  <c r="Y49" i="83"/>
  <c r="G50" i="83"/>
  <c r="T50" i="83" s="1"/>
  <c r="T49" i="83"/>
  <c r="F11" i="83"/>
  <c r="F12" i="83" s="1"/>
  <c r="S10" i="83"/>
  <c r="G11" i="83"/>
  <c r="T10" i="83"/>
  <c r="F50" i="83"/>
  <c r="F51" i="83" s="1"/>
  <c r="S49" i="83"/>
  <c r="M50" i="83"/>
  <c r="N50" i="83"/>
  <c r="M20" i="71"/>
  <c r="M19" i="71"/>
  <c r="B19" i="71"/>
  <c r="L19" i="71" s="1"/>
  <c r="B20" i="71"/>
  <c r="L20" i="71" s="1"/>
  <c r="G51" i="83" l="1"/>
  <c r="T51" i="83" s="1"/>
  <c r="N51" i="83"/>
  <c r="Y50" i="83"/>
  <c r="M51" i="83"/>
  <c r="X50" i="83"/>
  <c r="M12" i="83"/>
  <c r="X11" i="83"/>
  <c r="Y11" i="83"/>
  <c r="F13" i="83"/>
  <c r="F14" i="83" s="1"/>
  <c r="S12" i="83"/>
  <c r="F52" i="83"/>
  <c r="S51" i="83"/>
  <c r="S50" i="83"/>
  <c r="G12" i="83"/>
  <c r="T11" i="83"/>
  <c r="S11" i="83"/>
  <c r="N13" i="83"/>
  <c r="Y13" i="83" s="1"/>
  <c r="D41" i="43"/>
  <c r="D42" i="43"/>
  <c r="D45" i="43"/>
  <c r="D46" i="43"/>
  <c r="D47" i="43"/>
  <c r="P58" i="58"/>
  <c r="N58" i="58"/>
  <c r="P57" i="58"/>
  <c r="N57" i="58"/>
  <c r="P56" i="58"/>
  <c r="N56" i="58"/>
  <c r="P55" i="58"/>
  <c r="N55" i="58"/>
  <c r="P54" i="58"/>
  <c r="N54" i="58"/>
  <c r="P53" i="58"/>
  <c r="N53" i="58"/>
  <c r="P52" i="58"/>
  <c r="N52" i="58"/>
  <c r="N51" i="58"/>
  <c r="P51" i="58"/>
  <c r="X58" i="58"/>
  <c r="V58" i="58"/>
  <c r="X57" i="58"/>
  <c r="V57" i="58"/>
  <c r="X56" i="58"/>
  <c r="V56" i="58"/>
  <c r="X55" i="58"/>
  <c r="V55" i="58"/>
  <c r="X54" i="58"/>
  <c r="V54" i="58"/>
  <c r="X53" i="58"/>
  <c r="V53" i="58"/>
  <c r="X52" i="58"/>
  <c r="V52" i="58"/>
  <c r="V51" i="58"/>
  <c r="X51" i="58"/>
  <c r="P44" i="58"/>
  <c r="N44" i="58"/>
  <c r="P43" i="58"/>
  <c r="N43" i="58"/>
  <c r="P42" i="58"/>
  <c r="N42" i="58"/>
  <c r="P41" i="58"/>
  <c r="N41" i="58"/>
  <c r="P40" i="58"/>
  <c r="N40" i="58"/>
  <c r="P39" i="58"/>
  <c r="N39" i="58"/>
  <c r="P38" i="58"/>
  <c r="N38" i="58"/>
  <c r="P37" i="58"/>
  <c r="N37" i="58"/>
  <c r="X37" i="58"/>
  <c r="V37" i="58"/>
  <c r="X44" i="58"/>
  <c r="V44" i="58"/>
  <c r="X43" i="58"/>
  <c r="V43" i="58"/>
  <c r="X42" i="58"/>
  <c r="V42" i="58"/>
  <c r="X41" i="58"/>
  <c r="V41" i="58"/>
  <c r="X40" i="58"/>
  <c r="V40" i="58"/>
  <c r="X39" i="58"/>
  <c r="V39" i="58"/>
  <c r="X38" i="58"/>
  <c r="V38" i="58"/>
  <c r="U37" i="58"/>
  <c r="P29" i="58"/>
  <c r="P28" i="58"/>
  <c r="P27" i="58"/>
  <c r="P26" i="58"/>
  <c r="P25" i="58"/>
  <c r="P24" i="58"/>
  <c r="P23" i="58"/>
  <c r="P22" i="58"/>
  <c r="N29" i="58"/>
  <c r="N28" i="58"/>
  <c r="N27" i="58"/>
  <c r="N26" i="58"/>
  <c r="N25" i="58"/>
  <c r="N24" i="58"/>
  <c r="N23" i="58"/>
  <c r="N22" i="58"/>
  <c r="X24" i="58"/>
  <c r="X22" i="58"/>
  <c r="V22" i="58"/>
  <c r="M38" i="58"/>
  <c r="G52" i="83" l="1"/>
  <c r="T52" i="83" s="1"/>
  <c r="X12" i="83"/>
  <c r="M13" i="83"/>
  <c r="M52" i="83"/>
  <c r="X51" i="83"/>
  <c r="N52" i="83"/>
  <c r="Y51" i="83"/>
  <c r="T12" i="83"/>
  <c r="G13" i="83"/>
  <c r="F15" i="83"/>
  <c r="S15" i="83" s="1"/>
  <c r="S14" i="83"/>
  <c r="F53" i="83"/>
  <c r="S52" i="83"/>
  <c r="S13" i="83"/>
  <c r="Q51" i="58"/>
  <c r="Y39" i="58"/>
  <c r="Y37" i="58"/>
  <c r="Q27" i="58"/>
  <c r="Q29" i="58"/>
  <c r="Y56" i="58"/>
  <c r="Q54" i="58"/>
  <c r="Q56" i="58"/>
  <c r="Y58" i="58"/>
  <c r="Q42" i="58"/>
  <c r="Y52" i="58"/>
  <c r="Y55" i="58"/>
  <c r="Q53" i="58"/>
  <c r="Y43" i="58"/>
  <c r="Q40" i="58"/>
  <c r="Y38" i="58"/>
  <c r="Q55" i="58"/>
  <c r="Y44" i="58"/>
  <c r="Q41" i="58"/>
  <c r="Y57" i="58"/>
  <c r="Q57" i="58"/>
  <c r="Y53" i="58"/>
  <c r="Q37" i="58"/>
  <c r="Y54" i="58"/>
  <c r="Q58" i="58"/>
  <c r="Q44" i="58"/>
  <c r="Q39" i="58"/>
  <c r="Y40" i="58"/>
  <c r="Q43" i="58"/>
  <c r="Y41" i="58"/>
  <c r="Q52" i="58"/>
  <c r="Q25" i="58"/>
  <c r="Q38" i="58"/>
  <c r="Y42" i="58"/>
  <c r="G53" i="83"/>
  <c r="T53" i="83" s="1"/>
  <c r="N14" i="83"/>
  <c r="Y14" i="83" s="1"/>
  <c r="Y51" i="58"/>
  <c r="Q26" i="58"/>
  <c r="Q22" i="58"/>
  <c r="Q23" i="58"/>
  <c r="Q24" i="58"/>
  <c r="Q28" i="58"/>
  <c r="Y52" i="83" l="1"/>
  <c r="N53" i="83"/>
  <c r="M53" i="83"/>
  <c r="X52" i="83"/>
  <c r="X13" i="83"/>
  <c r="M14" i="83"/>
  <c r="S53" i="83"/>
  <c r="F54" i="83"/>
  <c r="F16" i="83"/>
  <c r="S16" i="83" s="1"/>
  <c r="G14" i="83"/>
  <c r="T13" i="83"/>
  <c r="N15" i="83"/>
  <c r="Y15" i="83" s="1"/>
  <c r="G54" i="83"/>
  <c r="T54" i="83" s="1"/>
  <c r="AA19" i="58"/>
  <c r="O35" i="75"/>
  <c r="M34" i="75"/>
  <c r="N34" i="75" s="1"/>
  <c r="M35" i="75"/>
  <c r="N35" i="75" s="1"/>
  <c r="F17" i="83" l="1"/>
  <c r="S17" i="83" s="1"/>
  <c r="X14" i="83"/>
  <c r="M15" i="83"/>
  <c r="X53" i="83"/>
  <c r="M54" i="83"/>
  <c r="Y53" i="83"/>
  <c r="N54" i="83"/>
  <c r="T14" i="83"/>
  <c r="G15" i="83"/>
  <c r="S54" i="83"/>
  <c r="F55" i="83"/>
  <c r="N16" i="83"/>
  <c r="Y16" i="83" s="1"/>
  <c r="G55" i="83"/>
  <c r="T55" i="83" s="1"/>
  <c r="Q11" i="75"/>
  <c r="V23" i="58"/>
  <c r="F18" i="83" l="1"/>
  <c r="S18" i="83" s="1"/>
  <c r="Y54" i="83"/>
  <c r="N55" i="83"/>
  <c r="X54" i="83"/>
  <c r="M55" i="83"/>
  <c r="X15" i="83"/>
  <c r="M16" i="83"/>
  <c r="F56" i="83"/>
  <c r="S55" i="83"/>
  <c r="T15" i="83"/>
  <c r="G16" i="83"/>
  <c r="G56" i="83"/>
  <c r="T56" i="83" s="1"/>
  <c r="N17" i="83"/>
  <c r="Y17" i="83" s="1"/>
  <c r="U22" i="58"/>
  <c r="V29" i="58"/>
  <c r="V28" i="58"/>
  <c r="V27" i="58"/>
  <c r="V26" i="58"/>
  <c r="V25" i="58"/>
  <c r="V24" i="58"/>
  <c r="Y24" i="58" s="1"/>
  <c r="Y22" i="58"/>
  <c r="F19" i="83" l="1"/>
  <c r="S19" i="83" s="1"/>
  <c r="X16" i="83"/>
  <c r="M17" i="83"/>
  <c r="Y55" i="83"/>
  <c r="N56" i="83"/>
  <c r="X55" i="83"/>
  <c r="M56" i="83"/>
  <c r="T16" i="83"/>
  <c r="G17" i="83"/>
  <c r="S56" i="83"/>
  <c r="F57" i="83"/>
  <c r="G57" i="83"/>
  <c r="T57" i="83" s="1"/>
  <c r="N18" i="83"/>
  <c r="Y18" i="83" s="1"/>
  <c r="F20" i="83" l="1"/>
  <c r="S20" i="83" s="1"/>
  <c r="X56" i="83"/>
  <c r="M57" i="83"/>
  <c r="Y56" i="83"/>
  <c r="N57" i="83"/>
  <c r="X17" i="83"/>
  <c r="M18" i="83"/>
  <c r="T17" i="83"/>
  <c r="G18" i="83"/>
  <c r="S57" i="83"/>
  <c r="F58" i="83"/>
  <c r="G58" i="83"/>
  <c r="T58" i="83" s="1"/>
  <c r="N19" i="83"/>
  <c r="Y19" i="83" s="1"/>
  <c r="L44" i="19"/>
  <c r="M44" i="19"/>
  <c r="B56" i="75"/>
  <c r="F18" i="75"/>
  <c r="B53" i="75"/>
  <c r="Q53" i="75" s="1"/>
  <c r="B54" i="75"/>
  <c r="B55" i="75"/>
  <c r="B57" i="75"/>
  <c r="B58" i="75"/>
  <c r="B59" i="75"/>
  <c r="B60" i="75"/>
  <c r="B52" i="75"/>
  <c r="B37" i="75"/>
  <c r="Q37" i="75" s="1"/>
  <c r="F35" i="75"/>
  <c r="E36" i="75" s="1"/>
  <c r="F36" i="75"/>
  <c r="F37" i="75"/>
  <c r="F38" i="75"/>
  <c r="F39" i="75"/>
  <c r="F40" i="75"/>
  <c r="F41" i="75"/>
  <c r="F42" i="75"/>
  <c r="F34" i="75"/>
  <c r="F59" i="75"/>
  <c r="E60" i="75" s="1"/>
  <c r="R60" i="75" s="1"/>
  <c r="F58" i="75"/>
  <c r="E59" i="75" s="1"/>
  <c r="R59" i="75" s="1"/>
  <c r="F57" i="75"/>
  <c r="E58" i="75" s="1"/>
  <c r="F56" i="75"/>
  <c r="E57" i="75" s="1"/>
  <c r="F55" i="75"/>
  <c r="E56" i="75" s="1"/>
  <c r="R56" i="75" s="1"/>
  <c r="F54" i="75"/>
  <c r="E55" i="75" s="1"/>
  <c r="F53" i="75"/>
  <c r="E54" i="75" s="1"/>
  <c r="S60" i="75"/>
  <c r="S59" i="75"/>
  <c r="S58" i="75"/>
  <c r="S57" i="75"/>
  <c r="S56" i="75"/>
  <c r="S55" i="75"/>
  <c r="S54" i="75"/>
  <c r="S53" i="75"/>
  <c r="S52" i="75"/>
  <c r="S51" i="75"/>
  <c r="Q51" i="75"/>
  <c r="F52" i="75"/>
  <c r="E53" i="75" s="1"/>
  <c r="F51" i="75"/>
  <c r="E52" i="75" s="1"/>
  <c r="B43" i="75"/>
  <c r="Q43" i="75" s="1"/>
  <c r="B42" i="75"/>
  <c r="Q42" i="75" s="1"/>
  <c r="B41" i="75"/>
  <c r="Q41" i="75" s="1"/>
  <c r="B40" i="75"/>
  <c r="Q40" i="75" s="1"/>
  <c r="B39" i="75"/>
  <c r="Q39" i="75" s="1"/>
  <c r="B38" i="75"/>
  <c r="Q38" i="75" s="1"/>
  <c r="B36" i="75"/>
  <c r="B35" i="75"/>
  <c r="Q35" i="75" s="1"/>
  <c r="Q36" i="75"/>
  <c r="S43" i="75"/>
  <c r="S42" i="75"/>
  <c r="S41" i="75"/>
  <c r="S40" i="75"/>
  <c r="S39" i="75"/>
  <c r="S38" i="75"/>
  <c r="S37" i="75"/>
  <c r="S36" i="75"/>
  <c r="S35" i="75"/>
  <c r="S34" i="75"/>
  <c r="Q34" i="75"/>
  <c r="F21" i="83" l="1"/>
  <c r="S21" i="83" s="1"/>
  <c r="Y57" i="83"/>
  <c r="N58" i="83"/>
  <c r="X18" i="83"/>
  <c r="M19" i="83"/>
  <c r="X57" i="83"/>
  <c r="M58" i="83"/>
  <c r="S58" i="83"/>
  <c r="F59" i="83"/>
  <c r="T18" i="83"/>
  <c r="G19" i="83"/>
  <c r="R54" i="75"/>
  <c r="N20" i="83"/>
  <c r="Y20" i="83" s="1"/>
  <c r="G59" i="83"/>
  <c r="T59" i="83" s="1"/>
  <c r="R52" i="75"/>
  <c r="R57" i="75"/>
  <c r="R55" i="75"/>
  <c r="R51" i="75"/>
  <c r="R53" i="75"/>
  <c r="R58" i="75"/>
  <c r="F17" i="75"/>
  <c r="M18" i="75"/>
  <c r="N18" i="75" s="1"/>
  <c r="O18" i="75"/>
  <c r="S18" i="75"/>
  <c r="E20" i="75"/>
  <c r="R20" i="75" s="1"/>
  <c r="E21" i="75"/>
  <c r="R21" i="75" s="1"/>
  <c r="E22" i="75"/>
  <c r="R22" i="75" s="1"/>
  <c r="E23" i="75"/>
  <c r="R23" i="75" s="1"/>
  <c r="E24" i="75"/>
  <c r="R24" i="75" s="1"/>
  <c r="E25" i="75"/>
  <c r="R25" i="75" s="1"/>
  <c r="E26" i="75"/>
  <c r="R26" i="75" s="1"/>
  <c r="E19" i="75"/>
  <c r="R19" i="75" s="1"/>
  <c r="B26" i="75"/>
  <c r="B25" i="75"/>
  <c r="B24" i="75"/>
  <c r="B23" i="75"/>
  <c r="B22" i="75"/>
  <c r="B21" i="75"/>
  <c r="B20" i="75"/>
  <c r="B19" i="75"/>
  <c r="B18" i="75"/>
  <c r="Q18" i="75" s="1"/>
  <c r="F22" i="83" l="1"/>
  <c r="S22" i="83" s="1"/>
  <c r="X58" i="83"/>
  <c r="M59" i="83"/>
  <c r="X19" i="83"/>
  <c r="M20" i="83"/>
  <c r="Y58" i="83"/>
  <c r="N59" i="83"/>
  <c r="G20" i="83"/>
  <c r="T19" i="83"/>
  <c r="S59" i="83"/>
  <c r="F60" i="83"/>
  <c r="G60" i="83"/>
  <c r="T60" i="83" s="1"/>
  <c r="F23" i="83"/>
  <c r="S23" i="83" s="1"/>
  <c r="N21" i="83"/>
  <c r="Y21" i="83" s="1"/>
  <c r="E18" i="75"/>
  <c r="R18" i="75" s="1"/>
  <c r="R17" i="75"/>
  <c r="N54" i="31"/>
  <c r="X59" i="83" l="1"/>
  <c r="Y59" i="83"/>
  <c r="X20" i="83"/>
  <c r="M21" i="83"/>
  <c r="S60" i="83"/>
  <c r="F61" i="83"/>
  <c r="T20" i="83"/>
  <c r="G21" i="83"/>
  <c r="N22" i="83"/>
  <c r="Y22" i="83" s="1"/>
  <c r="F24" i="83"/>
  <c r="S24" i="83" s="1"/>
  <c r="G61" i="83"/>
  <c r="T61" i="83" s="1"/>
  <c r="X21" i="83" l="1"/>
  <c r="M22" i="83"/>
  <c r="S61" i="83"/>
  <c r="F62" i="83"/>
  <c r="T21" i="83"/>
  <c r="G22" i="83"/>
  <c r="G62" i="83"/>
  <c r="T62" i="83" s="1"/>
  <c r="F25" i="83"/>
  <c r="S25" i="83" s="1"/>
  <c r="N23" i="83"/>
  <c r="Y23" i="83" s="1"/>
  <c r="I50" i="82"/>
  <c r="H50" i="82"/>
  <c r="I10" i="82"/>
  <c r="H10" i="82"/>
  <c r="H11" i="82" l="1"/>
  <c r="N10" i="82"/>
  <c r="I11" i="82"/>
  <c r="O10" i="82"/>
  <c r="H51" i="82"/>
  <c r="N50" i="82"/>
  <c r="I51" i="82"/>
  <c r="O50" i="82"/>
  <c r="X22" i="83"/>
  <c r="M23" i="83"/>
  <c r="T22" i="83"/>
  <c r="G23" i="83"/>
  <c r="S62" i="83"/>
  <c r="F63" i="83"/>
  <c r="N24" i="83"/>
  <c r="Y24" i="83" s="1"/>
  <c r="F26" i="83"/>
  <c r="S26" i="83" s="1"/>
  <c r="G63" i="83"/>
  <c r="T63" i="83" s="1"/>
  <c r="L47" i="82"/>
  <c r="L7" i="82"/>
  <c r="I52" i="82" l="1"/>
  <c r="O51" i="82"/>
  <c r="H52" i="82"/>
  <c r="N51" i="82"/>
  <c r="I12" i="82"/>
  <c r="O11" i="82"/>
  <c r="H12" i="82"/>
  <c r="N11" i="82"/>
  <c r="X23" i="83"/>
  <c r="M24" i="83"/>
  <c r="S63" i="83"/>
  <c r="F64" i="83"/>
  <c r="T23" i="83"/>
  <c r="G24" i="83"/>
  <c r="F27" i="83"/>
  <c r="S27" i="83" s="1"/>
  <c r="G64" i="83"/>
  <c r="T64" i="83" s="1"/>
  <c r="N25" i="83"/>
  <c r="Y25" i="83" s="1"/>
  <c r="H13" i="82" l="1"/>
  <c r="N12" i="82"/>
  <c r="I13" i="82"/>
  <c r="O12" i="82"/>
  <c r="H53" i="82"/>
  <c r="N52" i="82"/>
  <c r="I53" i="82"/>
  <c r="O52" i="82"/>
  <c r="X24" i="83"/>
  <c r="M25" i="83"/>
  <c r="T24" i="83"/>
  <c r="G25" i="83"/>
  <c r="S64" i="83"/>
  <c r="F65" i="83"/>
  <c r="N26" i="83"/>
  <c r="Y26" i="83" s="1"/>
  <c r="G65" i="83"/>
  <c r="T65" i="83" s="1"/>
  <c r="F28" i="83"/>
  <c r="S28" i="83" s="1"/>
  <c r="I54" i="82" l="1"/>
  <c r="O53" i="82"/>
  <c r="H54" i="82"/>
  <c r="N53" i="82"/>
  <c r="I14" i="82"/>
  <c r="O13" i="82"/>
  <c r="H14" i="82"/>
  <c r="N13" i="82"/>
  <c r="X25" i="83"/>
  <c r="M26" i="83"/>
  <c r="T25" i="83"/>
  <c r="G26" i="83"/>
  <c r="S65" i="83"/>
  <c r="F66" i="83"/>
  <c r="F29" i="83"/>
  <c r="S29" i="83" s="1"/>
  <c r="G66" i="83"/>
  <c r="T66" i="83" s="1"/>
  <c r="N27" i="83"/>
  <c r="Y27" i="83" s="1"/>
  <c r="Q44" i="71"/>
  <c r="Q43" i="71"/>
  <c r="Q42" i="71"/>
  <c r="Q41" i="71"/>
  <c r="Q40" i="71"/>
  <c r="Q39" i="71"/>
  <c r="H44" i="71"/>
  <c r="I44" i="71" s="1"/>
  <c r="H43" i="71"/>
  <c r="I43" i="71" s="1"/>
  <c r="H42" i="71"/>
  <c r="I42" i="71" s="1"/>
  <c r="H41" i="71"/>
  <c r="I41" i="71" s="1"/>
  <c r="H40" i="71"/>
  <c r="I40" i="71" s="1"/>
  <c r="H39" i="71"/>
  <c r="I39" i="71" s="1"/>
  <c r="Q35" i="71"/>
  <c r="Q34" i="71"/>
  <c r="Q33" i="71"/>
  <c r="Q32" i="71"/>
  <c r="Q31" i="71"/>
  <c r="Q30" i="71"/>
  <c r="Q29" i="71"/>
  <c r="Q28" i="71"/>
  <c r="Q27" i="71"/>
  <c r="Q26" i="71"/>
  <c r="Q25" i="71"/>
  <c r="Q24" i="71"/>
  <c r="H35" i="71"/>
  <c r="I35" i="71" s="1"/>
  <c r="H34" i="71"/>
  <c r="I34" i="71" s="1"/>
  <c r="H33" i="71"/>
  <c r="I33" i="71" s="1"/>
  <c r="H32" i="71"/>
  <c r="I32" i="71" s="1"/>
  <c r="H31" i="71"/>
  <c r="I31" i="71" s="1"/>
  <c r="H30" i="71"/>
  <c r="I30" i="71" s="1"/>
  <c r="H29" i="71"/>
  <c r="I29" i="71" s="1"/>
  <c r="H28" i="71"/>
  <c r="I28" i="71" s="1"/>
  <c r="H27" i="71"/>
  <c r="I27" i="71" s="1"/>
  <c r="H26" i="71"/>
  <c r="I26" i="71" s="1"/>
  <c r="H25" i="71"/>
  <c r="I25" i="71" s="1"/>
  <c r="H24" i="71"/>
  <c r="I24" i="71" s="1"/>
  <c r="M18" i="71"/>
  <c r="H14" i="71"/>
  <c r="I14" i="71" s="1"/>
  <c r="H15" i="71"/>
  <c r="I15" i="71" s="1"/>
  <c r="H16" i="71"/>
  <c r="I16" i="71" s="1"/>
  <c r="H17" i="71"/>
  <c r="I17" i="71" s="1"/>
  <c r="H18" i="71"/>
  <c r="I18" i="71" s="1"/>
  <c r="H13" i="71"/>
  <c r="I13" i="71" s="1"/>
  <c r="B18" i="71"/>
  <c r="L18" i="71" s="1"/>
  <c r="B15" i="71"/>
  <c r="L15" i="71" s="1"/>
  <c r="B16" i="71"/>
  <c r="L16" i="71" s="1"/>
  <c r="B17" i="71"/>
  <c r="L17" i="71" s="1"/>
  <c r="B14" i="71"/>
  <c r="L14" i="71" s="1"/>
  <c r="H15" i="82" l="1"/>
  <c r="N14" i="82"/>
  <c r="I15" i="82"/>
  <c r="O14" i="82"/>
  <c r="H55" i="82"/>
  <c r="N54" i="82"/>
  <c r="I55" i="82"/>
  <c r="O54" i="82"/>
  <c r="X26" i="83"/>
  <c r="M27" i="83"/>
  <c r="S66" i="83"/>
  <c r="F67" i="83"/>
  <c r="T26" i="83"/>
  <c r="G27" i="83"/>
  <c r="U24" i="71"/>
  <c r="W24" i="71"/>
  <c r="V24" i="71"/>
  <c r="U25" i="71"/>
  <c r="V25" i="71"/>
  <c r="W25" i="71"/>
  <c r="U26" i="71"/>
  <c r="V26" i="71"/>
  <c r="W26" i="71"/>
  <c r="U27" i="71"/>
  <c r="V27" i="71"/>
  <c r="W27" i="71"/>
  <c r="V28" i="71"/>
  <c r="W28" i="71"/>
  <c r="U28" i="71"/>
  <c r="U29" i="71"/>
  <c r="V29" i="71"/>
  <c r="W29" i="71"/>
  <c r="U30" i="71"/>
  <c r="V30" i="71"/>
  <c r="W30" i="71"/>
  <c r="U31" i="71"/>
  <c r="V31" i="71"/>
  <c r="W31" i="71"/>
  <c r="V32" i="71"/>
  <c r="W32" i="71"/>
  <c r="U32" i="71"/>
  <c r="U33" i="71"/>
  <c r="V33" i="71"/>
  <c r="W33" i="71"/>
  <c r="U34" i="71"/>
  <c r="V34" i="71"/>
  <c r="W34" i="71"/>
  <c r="U35" i="71"/>
  <c r="V35" i="71"/>
  <c r="W35" i="71"/>
  <c r="N28" i="83"/>
  <c r="Y28" i="83" s="1"/>
  <c r="G67" i="83"/>
  <c r="T67" i="83" s="1"/>
  <c r="F30" i="83"/>
  <c r="S30" i="83" s="1"/>
  <c r="M17" i="71"/>
  <c r="M14" i="71"/>
  <c r="M15" i="71"/>
  <c r="M16" i="71"/>
  <c r="M13" i="71"/>
  <c r="L8" i="71"/>
  <c r="L7" i="71"/>
  <c r="H16" i="82" l="1"/>
  <c r="N15" i="82"/>
  <c r="I56" i="82"/>
  <c r="O55" i="82"/>
  <c r="H56" i="82"/>
  <c r="N55" i="82"/>
  <c r="I16" i="82"/>
  <c r="O15" i="82"/>
  <c r="X27" i="83"/>
  <c r="M28" i="83"/>
  <c r="T27" i="83"/>
  <c r="G28" i="83"/>
  <c r="S67" i="83"/>
  <c r="F68" i="83"/>
  <c r="G68" i="83"/>
  <c r="T68" i="83" s="1"/>
  <c r="N29" i="83"/>
  <c r="Y29" i="83" s="1"/>
  <c r="F31" i="83"/>
  <c r="S31" i="83" s="1"/>
  <c r="Z17" i="75"/>
  <c r="AB19" i="75"/>
  <c r="AB20" i="75"/>
  <c r="AB21" i="75"/>
  <c r="AB22" i="75"/>
  <c r="AB23" i="75"/>
  <c r="AB24" i="75"/>
  <c r="AB25" i="75"/>
  <c r="AB26" i="75"/>
  <c r="AB17" i="75"/>
  <c r="T36" i="30"/>
  <c r="H17" i="82" l="1"/>
  <c r="N16" i="82"/>
  <c r="I17" i="82"/>
  <c r="O16" i="82"/>
  <c r="H57" i="82"/>
  <c r="N56" i="82"/>
  <c r="I57" i="82"/>
  <c r="O56" i="82"/>
  <c r="X28" i="83"/>
  <c r="M29" i="83"/>
  <c r="T28" i="83"/>
  <c r="G29" i="83"/>
  <c r="S68" i="83"/>
  <c r="F69" i="83"/>
  <c r="N30" i="83"/>
  <c r="Y30" i="83" s="1"/>
  <c r="F32" i="83"/>
  <c r="S32" i="83" s="1"/>
  <c r="G69" i="83"/>
  <c r="T69" i="83" s="1"/>
  <c r="Q20" i="62"/>
  <c r="P22" i="33"/>
  <c r="P37" i="33"/>
  <c r="P38" i="33"/>
  <c r="P36" i="33"/>
  <c r="AA16" i="53"/>
  <c r="AB20" i="53"/>
  <c r="AF20" i="53" s="1"/>
  <c r="S20" i="53" s="1"/>
  <c r="H18" i="82" l="1"/>
  <c r="N17" i="82"/>
  <c r="I58" i="82"/>
  <c r="O57" i="82"/>
  <c r="H58" i="82"/>
  <c r="N57" i="82"/>
  <c r="I18" i="82"/>
  <c r="O17" i="82"/>
  <c r="X29" i="83"/>
  <c r="M30" i="83"/>
  <c r="S69" i="83"/>
  <c r="F70" i="83"/>
  <c r="T29" i="83"/>
  <c r="G30" i="83"/>
  <c r="G70" i="83"/>
  <c r="T70" i="83" s="1"/>
  <c r="F33" i="83"/>
  <c r="S33" i="83" s="1"/>
  <c r="N31" i="83"/>
  <c r="Y31" i="83" s="1"/>
  <c r="I19" i="82" l="1"/>
  <c r="O18" i="82"/>
  <c r="H59" i="82"/>
  <c r="N58" i="82"/>
  <c r="I59" i="82"/>
  <c r="O58" i="82"/>
  <c r="H19" i="82"/>
  <c r="N18" i="82"/>
  <c r="X30" i="83"/>
  <c r="M31" i="83"/>
  <c r="T30" i="83"/>
  <c r="G31" i="83"/>
  <c r="S70" i="83"/>
  <c r="F71" i="83"/>
  <c r="F34" i="83"/>
  <c r="S34" i="83" s="1"/>
  <c r="G71" i="83"/>
  <c r="T71" i="83" s="1"/>
  <c r="N32" i="83"/>
  <c r="Y32" i="83" s="1"/>
  <c r="G20" i="56"/>
  <c r="M39" i="56"/>
  <c r="P39" i="56" s="1"/>
  <c r="Q39" i="56" s="1"/>
  <c r="M38" i="56"/>
  <c r="P38" i="56" s="1"/>
  <c r="Q38" i="56" s="1"/>
  <c r="M37" i="56"/>
  <c r="P37" i="56" s="1"/>
  <c r="Q37" i="56" s="1"/>
  <c r="M36" i="56"/>
  <c r="P36" i="56" s="1"/>
  <c r="Q36" i="56" s="1"/>
  <c r="M35" i="56"/>
  <c r="P35" i="56" s="1"/>
  <c r="Q35" i="56" s="1"/>
  <c r="M34" i="56"/>
  <c r="P34" i="56" s="1"/>
  <c r="Q34" i="56" s="1"/>
  <c r="M33" i="56"/>
  <c r="P33" i="56" s="1"/>
  <c r="Q33" i="56" s="1"/>
  <c r="M32" i="56"/>
  <c r="P32" i="56" s="1"/>
  <c r="Q32" i="56" s="1"/>
  <c r="M31" i="56"/>
  <c r="P31" i="56" s="1"/>
  <c r="Q31" i="56" s="1"/>
  <c r="M30" i="56"/>
  <c r="P30" i="56" s="1"/>
  <c r="Q30" i="56" s="1"/>
  <c r="M29" i="56"/>
  <c r="P29" i="56" s="1"/>
  <c r="Q29" i="56" s="1"/>
  <c r="M28" i="56"/>
  <c r="M27" i="56"/>
  <c r="P27" i="56" s="1"/>
  <c r="Q27" i="56" s="1"/>
  <c r="M26" i="56"/>
  <c r="P26" i="56" s="1"/>
  <c r="Q26" i="56" s="1"/>
  <c r="M25" i="56"/>
  <c r="P25" i="56" s="1"/>
  <c r="Q25" i="56" s="1"/>
  <c r="M24" i="56"/>
  <c r="P24" i="56" s="1"/>
  <c r="Q24" i="56" s="1"/>
  <c r="M23" i="56"/>
  <c r="P23" i="56" s="1"/>
  <c r="Q23" i="56" s="1"/>
  <c r="M22" i="56"/>
  <c r="P22" i="56" s="1"/>
  <c r="Q22" i="56" s="1"/>
  <c r="M21" i="56"/>
  <c r="P21" i="56" s="1"/>
  <c r="Q21" i="56" s="1"/>
  <c r="M20" i="56"/>
  <c r="P20" i="56" s="1"/>
  <c r="O30" i="60"/>
  <c r="R30" i="60" s="1"/>
  <c r="S30" i="60" s="1"/>
  <c r="O48" i="60"/>
  <c r="R48" i="60" s="1"/>
  <c r="S48" i="60" s="1"/>
  <c r="O47" i="60"/>
  <c r="R47" i="60" s="1"/>
  <c r="S47" i="60" s="1"/>
  <c r="O46" i="60"/>
  <c r="R46" i="60" s="1"/>
  <c r="S46" i="60" s="1"/>
  <c r="O45" i="60"/>
  <c r="R45" i="60" s="1"/>
  <c r="S45" i="60" s="1"/>
  <c r="O44" i="60"/>
  <c r="R44" i="60" s="1"/>
  <c r="S44" i="60" s="1"/>
  <c r="O43" i="60"/>
  <c r="R43" i="60" s="1"/>
  <c r="S43" i="60" s="1"/>
  <c r="O42" i="60"/>
  <c r="R42" i="60" s="1"/>
  <c r="S42" i="60" s="1"/>
  <c r="O41" i="60"/>
  <c r="R41" i="60" s="1"/>
  <c r="S41" i="60" s="1"/>
  <c r="O40" i="60"/>
  <c r="R40" i="60" s="1"/>
  <c r="S40" i="60" s="1"/>
  <c r="O39" i="60"/>
  <c r="R39" i="60" s="1"/>
  <c r="S39" i="60" s="1"/>
  <c r="O38" i="60"/>
  <c r="R38" i="60" s="1"/>
  <c r="S38" i="60" s="1"/>
  <c r="O37" i="60"/>
  <c r="R37" i="60" s="1"/>
  <c r="S37" i="60" s="1"/>
  <c r="O36" i="60"/>
  <c r="R36" i="60" s="1"/>
  <c r="S36" i="60" s="1"/>
  <c r="O35" i="60"/>
  <c r="R35" i="60" s="1"/>
  <c r="S35" i="60" s="1"/>
  <c r="O34" i="60"/>
  <c r="R34" i="60" s="1"/>
  <c r="S34" i="60" s="1"/>
  <c r="O33" i="60"/>
  <c r="R33" i="60" s="1"/>
  <c r="S33" i="60" s="1"/>
  <c r="O32" i="60"/>
  <c r="R32" i="60" s="1"/>
  <c r="S32" i="60" s="1"/>
  <c r="O31" i="60"/>
  <c r="R31" i="60" s="1"/>
  <c r="S31" i="60" s="1"/>
  <c r="O29" i="60"/>
  <c r="R29" i="60" s="1"/>
  <c r="S29" i="60" s="1"/>
  <c r="O28" i="60"/>
  <c r="R28" i="60" s="1"/>
  <c r="S28" i="60" s="1"/>
  <c r="O27" i="60"/>
  <c r="R27" i="60" s="1"/>
  <c r="S27" i="60" s="1"/>
  <c r="O26" i="60"/>
  <c r="R26" i="60" s="1"/>
  <c r="S26" i="60" s="1"/>
  <c r="O25" i="60"/>
  <c r="R25" i="60" s="1"/>
  <c r="S25" i="60" s="1"/>
  <c r="O24" i="60"/>
  <c r="R24" i="60" s="1"/>
  <c r="S24" i="60" s="1"/>
  <c r="O23" i="60"/>
  <c r="R23" i="60" s="1"/>
  <c r="S23" i="60" s="1"/>
  <c r="O22" i="60"/>
  <c r="R22" i="60" s="1"/>
  <c r="S22" i="60" s="1"/>
  <c r="Z21" i="60"/>
  <c r="O21" i="60"/>
  <c r="M54" i="31"/>
  <c r="O54" i="31" s="1"/>
  <c r="N53" i="31"/>
  <c r="M53" i="31"/>
  <c r="N52" i="31"/>
  <c r="M52" i="31"/>
  <c r="N51" i="31"/>
  <c r="M51" i="31"/>
  <c r="N50" i="31"/>
  <c r="M50" i="31"/>
  <c r="N49" i="31"/>
  <c r="M49" i="31"/>
  <c r="N48" i="31"/>
  <c r="M48" i="31"/>
  <c r="N47" i="31"/>
  <c r="M47" i="31"/>
  <c r="N46" i="31"/>
  <c r="M46" i="31"/>
  <c r="N45" i="31"/>
  <c r="M45" i="31"/>
  <c r="N44" i="31"/>
  <c r="M44" i="31"/>
  <c r="N43" i="31"/>
  <c r="M43" i="31"/>
  <c r="N42" i="31"/>
  <c r="M42" i="31"/>
  <c r="N41" i="31"/>
  <c r="M41" i="31"/>
  <c r="N40" i="31"/>
  <c r="M40" i="31"/>
  <c r="N39" i="31"/>
  <c r="M39" i="31"/>
  <c r="N38" i="31"/>
  <c r="M38" i="31"/>
  <c r="N37" i="31"/>
  <c r="M37" i="31"/>
  <c r="N32" i="31"/>
  <c r="M32" i="31"/>
  <c r="N31" i="31"/>
  <c r="M31" i="31"/>
  <c r="N30" i="31"/>
  <c r="M30" i="31"/>
  <c r="N29" i="31"/>
  <c r="M29" i="31"/>
  <c r="N28" i="31"/>
  <c r="M28" i="31"/>
  <c r="N27" i="31"/>
  <c r="M27" i="31"/>
  <c r="N26" i="31"/>
  <c r="M26" i="31"/>
  <c r="N25" i="31"/>
  <c r="M25" i="31"/>
  <c r="N24" i="31"/>
  <c r="M24" i="31"/>
  <c r="N23" i="31"/>
  <c r="M23" i="31"/>
  <c r="N22" i="31"/>
  <c r="M22" i="31"/>
  <c r="N21" i="31"/>
  <c r="M21" i="31"/>
  <c r="N20" i="31"/>
  <c r="M20" i="31"/>
  <c r="N19" i="31"/>
  <c r="M19" i="31"/>
  <c r="N18" i="31"/>
  <c r="M18" i="31"/>
  <c r="N17" i="31"/>
  <c r="M17" i="31"/>
  <c r="M8" i="31"/>
  <c r="N8" i="31"/>
  <c r="O8" i="31" s="1"/>
  <c r="M9" i="31"/>
  <c r="N9" i="31"/>
  <c r="M10" i="31"/>
  <c r="N10" i="31"/>
  <c r="M7" i="31"/>
  <c r="N7" i="31"/>
  <c r="O7" i="31" s="1"/>
  <c r="K54" i="31"/>
  <c r="K53" i="31"/>
  <c r="K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S54" i="31"/>
  <c r="S53" i="31"/>
  <c r="S52" i="31"/>
  <c r="S51" i="31"/>
  <c r="S50" i="31"/>
  <c r="S49" i="31"/>
  <c r="S48" i="31"/>
  <c r="S47" i="31"/>
  <c r="S46" i="31"/>
  <c r="S45" i="31"/>
  <c r="S44" i="31"/>
  <c r="S43" i="31"/>
  <c r="S42" i="31"/>
  <c r="S41" i="31"/>
  <c r="S40" i="31"/>
  <c r="S39" i="31"/>
  <c r="S38" i="31"/>
  <c r="S37" i="31"/>
  <c r="S32" i="31"/>
  <c r="S31" i="31"/>
  <c r="S30" i="31"/>
  <c r="S29" i="31"/>
  <c r="S28" i="31"/>
  <c r="S27" i="31"/>
  <c r="S26" i="31"/>
  <c r="S25" i="31"/>
  <c r="S24" i="31"/>
  <c r="S23" i="31"/>
  <c r="S22" i="31"/>
  <c r="S21" i="31"/>
  <c r="S20" i="31"/>
  <c r="S19" i="31"/>
  <c r="S18" i="31"/>
  <c r="S17" i="31"/>
  <c r="S10" i="31"/>
  <c r="S9" i="31"/>
  <c r="S8" i="31"/>
  <c r="S7" i="31"/>
  <c r="K8" i="31"/>
  <c r="K9" i="31"/>
  <c r="K10" i="31"/>
  <c r="K7" i="31"/>
  <c r="L23" i="30"/>
  <c r="R21" i="60" l="1"/>
  <c r="S21" i="60" s="1"/>
  <c r="H20" i="82"/>
  <c r="N19" i="82"/>
  <c r="I60" i="82"/>
  <c r="O60" i="82" s="1"/>
  <c r="O59" i="82"/>
  <c r="H60" i="82"/>
  <c r="N60" i="82" s="1"/>
  <c r="N59" i="82"/>
  <c r="I20" i="82"/>
  <c r="O19" i="82"/>
  <c r="X31" i="83"/>
  <c r="M32" i="83"/>
  <c r="S71" i="83"/>
  <c r="F72" i="83"/>
  <c r="T31" i="83"/>
  <c r="G32" i="83"/>
  <c r="O52" i="31"/>
  <c r="O10" i="31"/>
  <c r="O46" i="31"/>
  <c r="O9" i="31"/>
  <c r="N33" i="83"/>
  <c r="Y33" i="83" s="1"/>
  <c r="G72" i="83"/>
  <c r="T72" i="83" s="1"/>
  <c r="F35" i="83"/>
  <c r="S35" i="83" s="1"/>
  <c r="P28" i="56"/>
  <c r="Q28" i="56" s="1"/>
  <c r="Q20" i="56"/>
  <c r="O42" i="31"/>
  <c r="O50" i="31"/>
  <c r="O53" i="31"/>
  <c r="O32" i="31"/>
  <c r="O22" i="31"/>
  <c r="O28" i="31"/>
  <c r="O38" i="31"/>
  <c r="O49" i="31"/>
  <c r="O44" i="31"/>
  <c r="O17" i="31"/>
  <c r="O23" i="31"/>
  <c r="O29" i="31"/>
  <c r="O39" i="31"/>
  <c r="O45" i="31"/>
  <c r="O18" i="31"/>
  <c r="O24" i="31"/>
  <c r="O30" i="31"/>
  <c r="O40" i="31"/>
  <c r="O51" i="31"/>
  <c r="O19" i="31"/>
  <c r="O25" i="31"/>
  <c r="O31" i="31"/>
  <c r="O41" i="31"/>
  <c r="O26" i="31"/>
  <c r="O47" i="31"/>
  <c r="O20" i="31"/>
  <c r="O21" i="31"/>
  <c r="O27" i="31"/>
  <c r="O37" i="31"/>
  <c r="O48" i="31"/>
  <c r="O43" i="31"/>
  <c r="L25" i="30"/>
  <c r="L21" i="30"/>
  <c r="L19" i="30"/>
  <c r="L17" i="30"/>
  <c r="L15" i="30"/>
  <c r="L13" i="30"/>
  <c r="L11" i="30"/>
  <c r="L45" i="19"/>
  <c r="M45" i="19"/>
  <c r="N45" i="19"/>
  <c r="P45" i="19"/>
  <c r="Q45" i="19"/>
  <c r="L46" i="19"/>
  <c r="L24" i="19" s="1"/>
  <c r="M46" i="19"/>
  <c r="N46" i="19"/>
  <c r="O46" i="19"/>
  <c r="P46" i="19"/>
  <c r="Q46" i="19"/>
  <c r="L47" i="19"/>
  <c r="M47" i="19"/>
  <c r="N47" i="19"/>
  <c r="O47" i="19"/>
  <c r="P47" i="19"/>
  <c r="Q47" i="19"/>
  <c r="L48" i="19"/>
  <c r="M48" i="19"/>
  <c r="N48" i="19"/>
  <c r="O48" i="19"/>
  <c r="P48" i="19"/>
  <c r="Q48" i="19"/>
  <c r="L49" i="19"/>
  <c r="M49" i="19"/>
  <c r="N49" i="19"/>
  <c r="O49" i="19"/>
  <c r="P49" i="19"/>
  <c r="Q49" i="19"/>
  <c r="L50" i="19"/>
  <c r="M50" i="19"/>
  <c r="N50" i="19"/>
  <c r="O50" i="19"/>
  <c r="P50" i="19"/>
  <c r="Q50" i="19"/>
  <c r="L51" i="19"/>
  <c r="M51" i="19"/>
  <c r="N51" i="19"/>
  <c r="O51" i="19"/>
  <c r="P51" i="19"/>
  <c r="Q51" i="19"/>
  <c r="L52" i="19"/>
  <c r="M52" i="19"/>
  <c r="N52" i="19"/>
  <c r="O52" i="19"/>
  <c r="P52" i="19"/>
  <c r="Q52" i="19"/>
  <c r="Q36" i="19" s="1"/>
  <c r="N44" i="19"/>
  <c r="O44" i="19"/>
  <c r="P44" i="19"/>
  <c r="Q44" i="19"/>
  <c r="L40" i="76"/>
  <c r="O41" i="76"/>
  <c r="M40" i="76"/>
  <c r="N40" i="76"/>
  <c r="O40" i="76"/>
  <c r="T62" i="76" s="1"/>
  <c r="M41" i="76"/>
  <c r="N41" i="76"/>
  <c r="M42" i="76"/>
  <c r="N42" i="76"/>
  <c r="O42" i="76"/>
  <c r="M43" i="76"/>
  <c r="N43" i="76"/>
  <c r="O43" i="76"/>
  <c r="M44" i="76"/>
  <c r="N44" i="76"/>
  <c r="O44" i="76"/>
  <c r="M45" i="76"/>
  <c r="N45" i="76"/>
  <c r="O45" i="76"/>
  <c r="M46" i="76"/>
  <c r="N46" i="76"/>
  <c r="O46" i="76"/>
  <c r="M47" i="76"/>
  <c r="R69" i="76" s="1"/>
  <c r="N47" i="76"/>
  <c r="O47" i="76"/>
  <c r="M48" i="76"/>
  <c r="N48" i="76"/>
  <c r="O48" i="76"/>
  <c r="L41" i="76"/>
  <c r="L42" i="76"/>
  <c r="L43" i="76"/>
  <c r="L44" i="76"/>
  <c r="L45" i="76"/>
  <c r="L46" i="76"/>
  <c r="L47" i="76"/>
  <c r="L48" i="76"/>
  <c r="I21" i="82" l="1"/>
  <c r="O20" i="82"/>
  <c r="H21" i="82"/>
  <c r="N20" i="82"/>
  <c r="X32" i="83"/>
  <c r="M33" i="83"/>
  <c r="T32" i="83"/>
  <c r="G33" i="83"/>
  <c r="S72" i="83"/>
  <c r="F73" i="83"/>
  <c r="F36" i="83"/>
  <c r="S36" i="83" s="1"/>
  <c r="G73" i="83"/>
  <c r="T73" i="83" s="1"/>
  <c r="N34" i="83"/>
  <c r="Y34" i="83" s="1"/>
  <c r="AC14" i="63"/>
  <c r="H22" i="82" l="1"/>
  <c r="N21" i="82"/>
  <c r="I22" i="82"/>
  <c r="O21" i="82"/>
  <c r="X33" i="83"/>
  <c r="M34" i="83"/>
  <c r="S73" i="83"/>
  <c r="F74" i="83"/>
  <c r="T33" i="83"/>
  <c r="G34" i="83"/>
  <c r="N35" i="83"/>
  <c r="Y35" i="83" s="1"/>
  <c r="G74" i="83"/>
  <c r="T74" i="83" s="1"/>
  <c r="F37" i="83"/>
  <c r="S37" i="83" s="1"/>
  <c r="X20" i="56"/>
  <c r="Y30" i="30"/>
  <c r="Y31" i="30"/>
  <c r="Y29" i="30"/>
  <c r="N42" i="61"/>
  <c r="B36" i="19"/>
  <c r="B34" i="19"/>
  <c r="B32" i="19"/>
  <c r="B30" i="19"/>
  <c r="B28" i="19"/>
  <c r="B26" i="19"/>
  <c r="B24" i="19"/>
  <c r="B22" i="19"/>
  <c r="E38" i="75"/>
  <c r="I23" i="82" l="1"/>
  <c r="O22" i="82"/>
  <c r="H23" i="82"/>
  <c r="N22" i="82"/>
  <c r="X34" i="83"/>
  <c r="M35" i="83"/>
  <c r="T34" i="83"/>
  <c r="G35" i="83"/>
  <c r="S74" i="83"/>
  <c r="F75" i="83"/>
  <c r="G75" i="83"/>
  <c r="F38" i="83"/>
  <c r="S38" i="83" s="1"/>
  <c r="N36" i="83"/>
  <c r="Y36" i="83" s="1"/>
  <c r="E35" i="75"/>
  <c r="R35" i="75" s="1"/>
  <c r="R34" i="75"/>
  <c r="Z20" i="56"/>
  <c r="R62" i="76"/>
  <c r="S62" i="76"/>
  <c r="R63" i="76"/>
  <c r="S63" i="76"/>
  <c r="T63" i="76"/>
  <c r="R64" i="76"/>
  <c r="S64" i="76"/>
  <c r="T64" i="76"/>
  <c r="R65" i="76"/>
  <c r="S65" i="76"/>
  <c r="T65" i="76"/>
  <c r="S66" i="76"/>
  <c r="T66" i="76"/>
  <c r="R67" i="76"/>
  <c r="S67" i="76"/>
  <c r="T67" i="76"/>
  <c r="R68" i="76"/>
  <c r="S68" i="76"/>
  <c r="T68" i="76"/>
  <c r="S69" i="76"/>
  <c r="T69" i="76"/>
  <c r="R70" i="76"/>
  <c r="T70" i="76"/>
  <c r="Q63" i="76"/>
  <c r="Q65" i="76"/>
  <c r="Q66" i="76"/>
  <c r="Q67" i="76"/>
  <c r="Q68" i="76"/>
  <c r="Q69" i="76"/>
  <c r="Q70" i="76"/>
  <c r="Q62" i="76"/>
  <c r="R66" i="76"/>
  <c r="S70" i="76"/>
  <c r="Q64" i="76"/>
  <c r="T66" i="19"/>
  <c r="U66" i="19"/>
  <c r="V66" i="19"/>
  <c r="W66" i="19"/>
  <c r="X66" i="19"/>
  <c r="T67" i="19"/>
  <c r="U67" i="19"/>
  <c r="V67" i="19"/>
  <c r="W67" i="19"/>
  <c r="X67" i="19"/>
  <c r="T68" i="19"/>
  <c r="U68" i="19"/>
  <c r="V68" i="19"/>
  <c r="W68" i="19"/>
  <c r="X68" i="19"/>
  <c r="T69" i="19"/>
  <c r="U69" i="19"/>
  <c r="V69" i="19"/>
  <c r="W69" i="19"/>
  <c r="X69" i="19"/>
  <c r="T70" i="19"/>
  <c r="U70" i="19"/>
  <c r="V70" i="19"/>
  <c r="W70" i="19"/>
  <c r="X70" i="19"/>
  <c r="T71" i="19"/>
  <c r="U71" i="19"/>
  <c r="V71" i="19"/>
  <c r="X71" i="19"/>
  <c r="T72" i="19"/>
  <c r="U72" i="19"/>
  <c r="V72" i="19"/>
  <c r="W72" i="19"/>
  <c r="X72" i="19"/>
  <c r="T73" i="19"/>
  <c r="U73" i="19"/>
  <c r="V73" i="19"/>
  <c r="W73" i="19"/>
  <c r="X73" i="19"/>
  <c r="T74" i="19"/>
  <c r="U74" i="19"/>
  <c r="W74" i="19"/>
  <c r="S67" i="19"/>
  <c r="S68" i="19"/>
  <c r="S69" i="19"/>
  <c r="S70" i="19"/>
  <c r="S71" i="19"/>
  <c r="S72" i="19"/>
  <c r="S73" i="19"/>
  <c r="S74" i="19"/>
  <c r="W71" i="19"/>
  <c r="V74" i="19"/>
  <c r="X74" i="19"/>
  <c r="S66" i="19"/>
  <c r="H24" i="82" l="1"/>
  <c r="N23" i="82"/>
  <c r="I24" i="82"/>
  <c r="O23" i="82"/>
  <c r="X35" i="83"/>
  <c r="M36" i="83"/>
  <c r="T75" i="83"/>
  <c r="S75" i="83"/>
  <c r="T35" i="83"/>
  <c r="G36" i="83"/>
  <c r="N37" i="83"/>
  <c r="Y37" i="83" s="1"/>
  <c r="F39" i="83"/>
  <c r="S39" i="83" s="1"/>
  <c r="L20" i="19"/>
  <c r="I25" i="82" l="1"/>
  <c r="O24" i="82"/>
  <c r="H25" i="82"/>
  <c r="N24" i="82"/>
  <c r="X36" i="83"/>
  <c r="M37" i="83"/>
  <c r="T36" i="83"/>
  <c r="G37" i="83"/>
  <c r="F40" i="83"/>
  <c r="S40" i="83" s="1"/>
  <c r="N38" i="83"/>
  <c r="Y38" i="83" s="1"/>
  <c r="F20" i="19"/>
  <c r="E22" i="19" s="1"/>
  <c r="L18" i="76"/>
  <c r="M18" i="76"/>
  <c r="N18" i="76"/>
  <c r="O18" i="76"/>
  <c r="L20" i="76"/>
  <c r="M20" i="76"/>
  <c r="N20" i="76"/>
  <c r="O20" i="76"/>
  <c r="L22" i="76"/>
  <c r="M22" i="76"/>
  <c r="N22" i="76"/>
  <c r="O22" i="76"/>
  <c r="L24" i="76"/>
  <c r="M24" i="76"/>
  <c r="O24" i="76"/>
  <c r="L26" i="76"/>
  <c r="M26" i="76"/>
  <c r="N26" i="76"/>
  <c r="O26" i="76"/>
  <c r="L28" i="76"/>
  <c r="M28" i="76"/>
  <c r="N28" i="76"/>
  <c r="O28" i="76"/>
  <c r="L30" i="76"/>
  <c r="M30" i="76"/>
  <c r="N30" i="76"/>
  <c r="O30" i="76"/>
  <c r="L32" i="76"/>
  <c r="M32" i="76"/>
  <c r="N32" i="76"/>
  <c r="O32" i="76"/>
  <c r="M16" i="76"/>
  <c r="N16" i="76"/>
  <c r="O16" i="76"/>
  <c r="L16" i="76"/>
  <c r="K32" i="76"/>
  <c r="C30" i="76"/>
  <c r="F30" i="76" s="1"/>
  <c r="E32" i="76" s="1"/>
  <c r="K33" i="76" s="1"/>
  <c r="C28" i="76"/>
  <c r="K28" i="76" s="1"/>
  <c r="C26" i="76"/>
  <c r="F26" i="76" s="1"/>
  <c r="E28" i="76" s="1"/>
  <c r="N24" i="76"/>
  <c r="C24" i="76"/>
  <c r="K24" i="76" s="1"/>
  <c r="C22" i="76"/>
  <c r="K22" i="76" s="1"/>
  <c r="C20" i="76"/>
  <c r="K20" i="76" s="1"/>
  <c r="C18" i="76"/>
  <c r="F18" i="76" s="1"/>
  <c r="E20" i="76" s="1"/>
  <c r="C16" i="76"/>
  <c r="K7" i="76"/>
  <c r="K6" i="76"/>
  <c r="K5" i="76"/>
  <c r="K36" i="19"/>
  <c r="F34" i="19"/>
  <c r="E36" i="19" s="1"/>
  <c r="F32" i="19"/>
  <c r="E34" i="19" s="1"/>
  <c r="K30" i="19"/>
  <c r="F28" i="19"/>
  <c r="E30" i="19" s="1"/>
  <c r="K26" i="19"/>
  <c r="K24" i="19"/>
  <c r="K22" i="19"/>
  <c r="I37" i="58"/>
  <c r="Q52" i="75"/>
  <c r="E41" i="75"/>
  <c r="R41" i="75" s="1"/>
  <c r="E42" i="75"/>
  <c r="E43" i="75"/>
  <c r="R43" i="75" s="1"/>
  <c r="E40" i="75"/>
  <c r="O60" i="75"/>
  <c r="V60" i="75" s="1"/>
  <c r="X60" i="75" s="1"/>
  <c r="M60" i="75"/>
  <c r="N60" i="75" s="1"/>
  <c r="O59" i="75"/>
  <c r="V59" i="75" s="1"/>
  <c r="X59" i="75" s="1"/>
  <c r="M59" i="75"/>
  <c r="N59" i="75" s="1"/>
  <c r="O58" i="75"/>
  <c r="V58" i="75" s="1"/>
  <c r="X58" i="75" s="1"/>
  <c r="M58" i="75"/>
  <c r="N58" i="75" s="1"/>
  <c r="O57" i="75"/>
  <c r="V57" i="75" s="1"/>
  <c r="X57" i="75" s="1"/>
  <c r="M57" i="75"/>
  <c r="N57" i="75" s="1"/>
  <c r="O56" i="75"/>
  <c r="V56" i="75" s="1"/>
  <c r="X56" i="75" s="1"/>
  <c r="M56" i="75"/>
  <c r="N56" i="75" s="1"/>
  <c r="O55" i="75"/>
  <c r="V55" i="75" s="1"/>
  <c r="X55" i="75" s="1"/>
  <c r="M55" i="75"/>
  <c r="N55" i="75" s="1"/>
  <c r="O54" i="75"/>
  <c r="V54" i="75" s="1"/>
  <c r="X54" i="75" s="1"/>
  <c r="M54" i="75"/>
  <c r="N54" i="75" s="1"/>
  <c r="O53" i="75"/>
  <c r="V53" i="75" s="1"/>
  <c r="X53" i="75" s="1"/>
  <c r="M53" i="75"/>
  <c r="N53" i="75" s="1"/>
  <c r="O51" i="75"/>
  <c r="V51" i="75" s="1"/>
  <c r="X51" i="75" s="1"/>
  <c r="M51" i="75"/>
  <c r="N51" i="75" s="1"/>
  <c r="Q48" i="75"/>
  <c r="O43" i="75"/>
  <c r="V43" i="75" s="1"/>
  <c r="M43" i="75"/>
  <c r="N43" i="75" s="1"/>
  <c r="O42" i="75"/>
  <c r="V42" i="75" s="1"/>
  <c r="M42" i="75"/>
  <c r="N42" i="75" s="1"/>
  <c r="O41" i="75"/>
  <c r="V41" i="75" s="1"/>
  <c r="M41" i="75"/>
  <c r="N41" i="75" s="1"/>
  <c r="O40" i="75"/>
  <c r="V40" i="75" s="1"/>
  <c r="X40" i="75" s="1"/>
  <c r="M40" i="75"/>
  <c r="N40" i="75" s="1"/>
  <c r="O39" i="75"/>
  <c r="V39" i="75" s="1"/>
  <c r="M39" i="75"/>
  <c r="N39" i="75" s="1"/>
  <c r="O38" i="75"/>
  <c r="V38" i="75" s="1"/>
  <c r="M38" i="75"/>
  <c r="N38" i="75" s="1"/>
  <c r="O37" i="75"/>
  <c r="V37" i="75" s="1"/>
  <c r="M37" i="75"/>
  <c r="N37" i="75" s="1"/>
  <c r="O36" i="75"/>
  <c r="V36" i="75" s="1"/>
  <c r="M36" i="75"/>
  <c r="N36" i="75" s="1"/>
  <c r="O34" i="75"/>
  <c r="V34" i="75" s="1"/>
  <c r="Q31" i="75"/>
  <c r="S26" i="75"/>
  <c r="O26" i="75"/>
  <c r="M26" i="75"/>
  <c r="N26" i="75" s="1"/>
  <c r="S25" i="75"/>
  <c r="O25" i="75"/>
  <c r="M25" i="75"/>
  <c r="N25" i="75" s="1"/>
  <c r="S24" i="75"/>
  <c r="O24" i="75"/>
  <c r="M24" i="75"/>
  <c r="N24" i="75" s="1"/>
  <c r="S23" i="75"/>
  <c r="O23" i="75"/>
  <c r="M23" i="75"/>
  <c r="N23" i="75" s="1"/>
  <c r="S22" i="75"/>
  <c r="O22" i="75"/>
  <c r="M22" i="75"/>
  <c r="N22" i="75" s="1"/>
  <c r="S21" i="75"/>
  <c r="O21" i="75"/>
  <c r="M21" i="75"/>
  <c r="N21" i="75" s="1"/>
  <c r="S20" i="75"/>
  <c r="O20" i="75"/>
  <c r="M20" i="75"/>
  <c r="N20" i="75" s="1"/>
  <c r="S19" i="75"/>
  <c r="O19" i="75"/>
  <c r="M19" i="75"/>
  <c r="N19" i="75" s="1"/>
  <c r="S17" i="75"/>
  <c r="Q17" i="75"/>
  <c r="O17" i="75"/>
  <c r="M17" i="75"/>
  <c r="N17" i="75" s="1"/>
  <c r="Q14" i="75"/>
  <c r="Q12" i="75"/>
  <c r="Q10" i="75"/>
  <c r="Q9" i="75"/>
  <c r="H26" i="82" l="1"/>
  <c r="N25" i="82"/>
  <c r="I26" i="82"/>
  <c r="O25" i="82"/>
  <c r="X37" i="83"/>
  <c r="M38" i="83"/>
  <c r="T37" i="83"/>
  <c r="G38" i="83"/>
  <c r="F41" i="83"/>
  <c r="S41" i="83" s="1"/>
  <c r="N39" i="83"/>
  <c r="Y39" i="83" s="1"/>
  <c r="E37" i="75"/>
  <c r="R37" i="75" s="1"/>
  <c r="R36" i="75"/>
  <c r="E39" i="75"/>
  <c r="R39" i="75" s="1"/>
  <c r="R38" i="75"/>
  <c r="R40" i="75"/>
  <c r="R42" i="75"/>
  <c r="AA19" i="75"/>
  <c r="AC19" i="75" s="1"/>
  <c r="Q26" i="75"/>
  <c r="Z26" i="75"/>
  <c r="Q25" i="75"/>
  <c r="Z25" i="75"/>
  <c r="Q24" i="75"/>
  <c r="Z24" i="75"/>
  <c r="Q20" i="75"/>
  <c r="Z20" i="75"/>
  <c r="Q23" i="75"/>
  <c r="Z23" i="75"/>
  <c r="Q19" i="75"/>
  <c r="Z19" i="75"/>
  <c r="Q22" i="75"/>
  <c r="Z22" i="75"/>
  <c r="Q21" i="75"/>
  <c r="Z21" i="75"/>
  <c r="V26" i="75"/>
  <c r="X26" i="75" s="1"/>
  <c r="AA26" i="75"/>
  <c r="AC26" i="75" s="1"/>
  <c r="V23" i="75"/>
  <c r="X23" i="75" s="1"/>
  <c r="AA23" i="75"/>
  <c r="AC23" i="75" s="1"/>
  <c r="V21" i="75"/>
  <c r="X21" i="75" s="1"/>
  <c r="AA21" i="75"/>
  <c r="AC21" i="75" s="1"/>
  <c r="V20" i="75"/>
  <c r="W20" i="75" s="1"/>
  <c r="AA20" i="75"/>
  <c r="AC20" i="75" s="1"/>
  <c r="V22" i="75"/>
  <c r="X22" i="75" s="1"/>
  <c r="AA22" i="75"/>
  <c r="AC22" i="75" s="1"/>
  <c r="V24" i="75"/>
  <c r="W24" i="75" s="1"/>
  <c r="AA24" i="75"/>
  <c r="AC24" i="75" s="1"/>
  <c r="V25" i="75"/>
  <c r="W25" i="75" s="1"/>
  <c r="AA25" i="75"/>
  <c r="AC25" i="75" s="1"/>
  <c r="V17" i="75"/>
  <c r="W17" i="75" s="1"/>
  <c r="AA17" i="75"/>
  <c r="AC17" i="75" s="1"/>
  <c r="V19" i="75"/>
  <c r="K16" i="76"/>
  <c r="F16" i="76"/>
  <c r="X42" i="75"/>
  <c r="F28" i="76"/>
  <c r="E30" i="76" s="1"/>
  <c r="K31" i="76" s="1"/>
  <c r="K30" i="76"/>
  <c r="K34" i="19"/>
  <c r="K26" i="76"/>
  <c r="F24" i="76"/>
  <c r="E26" i="76" s="1"/>
  <c r="K27" i="76" s="1"/>
  <c r="F22" i="76"/>
  <c r="E24" i="76" s="1"/>
  <c r="F20" i="76"/>
  <c r="E22" i="76" s="1"/>
  <c r="K18" i="76"/>
  <c r="K28" i="19"/>
  <c r="K32" i="19"/>
  <c r="F30" i="19"/>
  <c r="E32" i="19" s="1"/>
  <c r="F24" i="19"/>
  <c r="E26" i="19" s="1"/>
  <c r="F22" i="19"/>
  <c r="E24" i="19" s="1"/>
  <c r="F26" i="19"/>
  <c r="E28" i="19" s="1"/>
  <c r="X38" i="75"/>
  <c r="X34" i="75"/>
  <c r="X39" i="75"/>
  <c r="X41" i="75"/>
  <c r="X36" i="75"/>
  <c r="X37" i="75"/>
  <c r="X43" i="75"/>
  <c r="L39" i="61"/>
  <c r="S39" i="61" s="1"/>
  <c r="L38" i="61"/>
  <c r="S38" i="61" s="1"/>
  <c r="L37" i="61"/>
  <c r="S37" i="61" s="1"/>
  <c r="L36" i="61"/>
  <c r="S36" i="61" s="1"/>
  <c r="L35" i="61"/>
  <c r="S35" i="61" s="1"/>
  <c r="L34" i="61"/>
  <c r="S34" i="61" s="1"/>
  <c r="L33" i="61"/>
  <c r="S33" i="61" s="1"/>
  <c r="L32" i="61"/>
  <c r="S32" i="61" s="1"/>
  <c r="L31" i="61"/>
  <c r="S31" i="61" s="1"/>
  <c r="L30" i="61"/>
  <c r="S30" i="61" s="1"/>
  <c r="L29" i="61"/>
  <c r="S29" i="61" s="1"/>
  <c r="L28" i="61"/>
  <c r="S28" i="61" s="1"/>
  <c r="L27" i="61"/>
  <c r="S27" i="61" s="1"/>
  <c r="L26" i="61"/>
  <c r="S26" i="61" s="1"/>
  <c r="L25" i="61"/>
  <c r="S25" i="61" s="1"/>
  <c r="L24" i="61"/>
  <c r="S24" i="61" s="1"/>
  <c r="L23" i="61"/>
  <c r="S23" i="61" s="1"/>
  <c r="L22" i="61"/>
  <c r="S22" i="61" s="1"/>
  <c r="L21" i="61"/>
  <c r="S21" i="61" s="1"/>
  <c r="L20" i="61"/>
  <c r="S20" i="61" s="1"/>
  <c r="G36" i="61"/>
  <c r="G37" i="61" s="1"/>
  <c r="G38" i="61" s="1"/>
  <c r="G39" i="61" s="1"/>
  <c r="G32" i="61"/>
  <c r="G33" i="61" s="1"/>
  <c r="G34" i="61" s="1"/>
  <c r="G35" i="61" s="1"/>
  <c r="G28" i="61"/>
  <c r="G29" i="61" s="1"/>
  <c r="G30" i="61" s="1"/>
  <c r="G31" i="61" s="1"/>
  <c r="G24" i="61"/>
  <c r="G25" i="61" s="1"/>
  <c r="G26" i="61" s="1"/>
  <c r="G27" i="61" s="1"/>
  <c r="G20" i="61"/>
  <c r="F37" i="61"/>
  <c r="Z37" i="61" s="1"/>
  <c r="F33" i="61"/>
  <c r="Z33" i="61" s="1"/>
  <c r="F29" i="61"/>
  <c r="Z29" i="61" s="1"/>
  <c r="F25" i="61"/>
  <c r="Z25" i="61" s="1"/>
  <c r="F21" i="61"/>
  <c r="Z21" i="61" s="1"/>
  <c r="G36" i="56"/>
  <c r="G32" i="56"/>
  <c r="G28" i="56"/>
  <c r="G24" i="56"/>
  <c r="F37" i="56"/>
  <c r="F33" i="56"/>
  <c r="F29" i="56"/>
  <c r="F25" i="56"/>
  <c r="F21" i="56"/>
  <c r="Y29" i="56"/>
  <c r="Y30" i="56"/>
  <c r="Y31" i="56"/>
  <c r="Y32" i="56"/>
  <c r="Y33" i="56"/>
  <c r="Y34" i="56"/>
  <c r="Y35" i="56"/>
  <c r="Y36" i="56"/>
  <c r="Y37" i="56"/>
  <c r="Y38" i="56"/>
  <c r="Y39" i="56"/>
  <c r="X31" i="56"/>
  <c r="X32" i="56"/>
  <c r="X33" i="56"/>
  <c r="X34" i="56"/>
  <c r="X35" i="56"/>
  <c r="X36" i="56"/>
  <c r="X37" i="56"/>
  <c r="X38" i="56"/>
  <c r="X39" i="56"/>
  <c r="X30" i="56"/>
  <c r="X29" i="56"/>
  <c r="Y28" i="56"/>
  <c r="X28" i="56"/>
  <c r="Y27" i="56"/>
  <c r="X27" i="56"/>
  <c r="Y26" i="56"/>
  <c r="X26" i="56"/>
  <c r="Y25" i="56"/>
  <c r="X25" i="56"/>
  <c r="Y24" i="56"/>
  <c r="X24" i="56"/>
  <c r="Y23" i="56"/>
  <c r="X23" i="56"/>
  <c r="Y22" i="56"/>
  <c r="X22" i="56"/>
  <c r="Y21" i="56"/>
  <c r="X21" i="56"/>
  <c r="Y20" i="56"/>
  <c r="AA28" i="60"/>
  <c r="AA48" i="60"/>
  <c r="AA47" i="60"/>
  <c r="AA46" i="60"/>
  <c r="AA45" i="60"/>
  <c r="AA44" i="60"/>
  <c r="AA43" i="60"/>
  <c r="AA42" i="60"/>
  <c r="AA41" i="60"/>
  <c r="AA40" i="60"/>
  <c r="AA39" i="60"/>
  <c r="AA38" i="60"/>
  <c r="AA37" i="60"/>
  <c r="AA36" i="60"/>
  <c r="AA35" i="60"/>
  <c r="AA34" i="60"/>
  <c r="AA33" i="60"/>
  <c r="AA32" i="60"/>
  <c r="AA31" i="60"/>
  <c r="AA30" i="60"/>
  <c r="AA29" i="60"/>
  <c r="AA27" i="60"/>
  <c r="AA26" i="60"/>
  <c r="AA25" i="60"/>
  <c r="AA24" i="60"/>
  <c r="AA23" i="60"/>
  <c r="AA22" i="60"/>
  <c r="AA21" i="60"/>
  <c r="Z22" i="60"/>
  <c r="Z23" i="60"/>
  <c r="Z24" i="60"/>
  <c r="Z25" i="60"/>
  <c r="Z26" i="60"/>
  <c r="Z27" i="60"/>
  <c r="Z28" i="60"/>
  <c r="Z29" i="60"/>
  <c r="Z30" i="60"/>
  <c r="Z31" i="60"/>
  <c r="Z32" i="60"/>
  <c r="Z33" i="60"/>
  <c r="Z34" i="60"/>
  <c r="Z35" i="60"/>
  <c r="Z36" i="60"/>
  <c r="Z37" i="60"/>
  <c r="Z38" i="60"/>
  <c r="Z39" i="60"/>
  <c r="Z40" i="60"/>
  <c r="Z41" i="60"/>
  <c r="Z42" i="60"/>
  <c r="Z43" i="60"/>
  <c r="Z44" i="60"/>
  <c r="Z45" i="60"/>
  <c r="Z46" i="60"/>
  <c r="Z47" i="60"/>
  <c r="Z48" i="60"/>
  <c r="I45" i="60"/>
  <c r="H45" i="60"/>
  <c r="I41" i="60"/>
  <c r="H41" i="60"/>
  <c r="I37" i="60"/>
  <c r="H37" i="60"/>
  <c r="I33" i="60"/>
  <c r="H33" i="60"/>
  <c r="I29" i="60"/>
  <c r="H29" i="60"/>
  <c r="I25" i="60"/>
  <c r="H25" i="60"/>
  <c r="I21" i="60"/>
  <c r="H21" i="60"/>
  <c r="AB21" i="60" s="1"/>
  <c r="AM13" i="53"/>
  <c r="AQ13" i="53" s="1"/>
  <c r="R13" i="53" s="1"/>
  <c r="AN13" i="53"/>
  <c r="AO13" i="53"/>
  <c r="AM14" i="53"/>
  <c r="AN14" i="53"/>
  <c r="AO14" i="53"/>
  <c r="AM15" i="53"/>
  <c r="AQ15" i="53" s="1"/>
  <c r="R15" i="53" s="1"/>
  <c r="AN15" i="53"/>
  <c r="AO15" i="53"/>
  <c r="AN12" i="53"/>
  <c r="AM12" i="53"/>
  <c r="AQ12" i="53" s="1"/>
  <c r="R12" i="53" s="1"/>
  <c r="AO12" i="53"/>
  <c r="AS12" i="53" s="1"/>
  <c r="T12" i="53" s="1"/>
  <c r="I27" i="82" l="1"/>
  <c r="O26" i="82"/>
  <c r="H27" i="82"/>
  <c r="N26" i="82"/>
  <c r="X38" i="83"/>
  <c r="M39" i="83"/>
  <c r="T38" i="83"/>
  <c r="G39" i="83"/>
  <c r="F34" i="56"/>
  <c r="AG33" i="56"/>
  <c r="AI33" i="56"/>
  <c r="AH33" i="56"/>
  <c r="F38" i="56"/>
  <c r="AG37" i="56"/>
  <c r="AI37" i="56"/>
  <c r="AH37" i="56"/>
  <c r="F22" i="56"/>
  <c r="AG21" i="56"/>
  <c r="AI21" i="56"/>
  <c r="AH21" i="56"/>
  <c r="F26" i="56"/>
  <c r="AG25" i="56"/>
  <c r="AI25" i="56"/>
  <c r="AH25" i="56"/>
  <c r="F30" i="56"/>
  <c r="AG29" i="56"/>
  <c r="AI29" i="56"/>
  <c r="AH29" i="56"/>
  <c r="F22" i="61"/>
  <c r="Z22" i="61" s="1"/>
  <c r="F26" i="61"/>
  <c r="Z26" i="61" s="1"/>
  <c r="F30" i="61"/>
  <c r="Z30" i="61" s="1"/>
  <c r="F34" i="61"/>
  <c r="Z34" i="61" s="1"/>
  <c r="F38" i="61"/>
  <c r="Z38" i="61" s="1"/>
  <c r="AB20" i="56"/>
  <c r="N40" i="83"/>
  <c r="Y40" i="83" s="1"/>
  <c r="F42" i="83"/>
  <c r="S42" i="83" s="1"/>
  <c r="X25" i="75"/>
  <c r="W22" i="75"/>
  <c r="X24" i="75"/>
  <c r="W26" i="75"/>
  <c r="X20" i="75"/>
  <c r="X17" i="75"/>
  <c r="W21" i="75"/>
  <c r="W23" i="75"/>
  <c r="X19" i="75"/>
  <c r="W19" i="75"/>
  <c r="G21" i="61"/>
  <c r="G22" i="61" s="1"/>
  <c r="G23" i="61" s="1"/>
  <c r="T20" i="61"/>
  <c r="AD21" i="60"/>
  <c r="AS15" i="53"/>
  <c r="T15" i="53" s="1"/>
  <c r="AR12" i="53"/>
  <c r="S12" i="53" s="1"/>
  <c r="AR15" i="53"/>
  <c r="S15" i="53" s="1"/>
  <c r="AS14" i="53"/>
  <c r="T14" i="53" s="1"/>
  <c r="AR14" i="53"/>
  <c r="S14" i="53" s="1"/>
  <c r="AQ14" i="53"/>
  <c r="R14" i="53" s="1"/>
  <c r="AS13" i="53"/>
  <c r="T13" i="53" s="1"/>
  <c r="AR13" i="53"/>
  <c r="S13" i="53" s="1"/>
  <c r="AC21" i="60"/>
  <c r="K25" i="76"/>
  <c r="K23" i="76"/>
  <c r="K29" i="76"/>
  <c r="K21" i="76"/>
  <c r="E18" i="76"/>
  <c r="K19" i="76" s="1"/>
  <c r="K17" i="76"/>
  <c r="H28" i="82" l="1"/>
  <c r="N27" i="82"/>
  <c r="I28" i="82"/>
  <c r="O27" i="82"/>
  <c r="X39" i="83"/>
  <c r="M40" i="83"/>
  <c r="T39" i="83"/>
  <c r="G40" i="83"/>
  <c r="F39" i="56"/>
  <c r="AI38" i="56"/>
  <c r="AH38" i="56"/>
  <c r="AG38" i="56"/>
  <c r="F23" i="56"/>
  <c r="AG22" i="56"/>
  <c r="AH22" i="56"/>
  <c r="AI22" i="56"/>
  <c r="F31" i="56"/>
  <c r="AI30" i="56"/>
  <c r="AH30" i="56"/>
  <c r="AG30" i="56"/>
  <c r="F27" i="56"/>
  <c r="AI26" i="56"/>
  <c r="AH26" i="56"/>
  <c r="AG26" i="56"/>
  <c r="F35" i="56"/>
  <c r="AI34" i="56"/>
  <c r="AH34" i="56"/>
  <c r="AG34" i="56"/>
  <c r="F31" i="61"/>
  <c r="Z31" i="61" s="1"/>
  <c r="F39" i="61"/>
  <c r="Z39" i="61" s="1"/>
  <c r="F35" i="61"/>
  <c r="Z35" i="61" s="1"/>
  <c r="F27" i="61"/>
  <c r="Z27" i="61" s="1"/>
  <c r="F23" i="61"/>
  <c r="Z23" i="61" s="1"/>
  <c r="F43" i="83"/>
  <c r="S43" i="83" s="1"/>
  <c r="N41" i="83"/>
  <c r="Y41" i="83" s="1"/>
  <c r="AB45" i="53"/>
  <c r="AA13" i="53"/>
  <c r="AE13" i="53" s="1"/>
  <c r="AB13" i="53"/>
  <c r="AF13" i="53" s="1"/>
  <c r="AC13" i="53"/>
  <c r="AG13" i="53" s="1"/>
  <c r="AA14" i="53"/>
  <c r="AE14" i="53" s="1"/>
  <c r="AB14" i="53"/>
  <c r="AF14" i="53" s="1"/>
  <c r="AC14" i="53"/>
  <c r="AG14" i="53" s="1"/>
  <c r="AA15" i="53"/>
  <c r="AE15" i="53" s="1"/>
  <c r="AB15" i="53"/>
  <c r="AF15" i="53" s="1"/>
  <c r="AC15" i="53"/>
  <c r="AG15" i="53" s="1"/>
  <c r="AB16" i="53"/>
  <c r="AF16" i="53" s="1"/>
  <c r="AC16" i="53"/>
  <c r="AG16" i="53" s="1"/>
  <c r="T16" i="53" s="1"/>
  <c r="AA17" i="53"/>
  <c r="AC17" i="53"/>
  <c r="AA18" i="53"/>
  <c r="AB18" i="53"/>
  <c r="AF18" i="53" s="1"/>
  <c r="AC18" i="53"/>
  <c r="AA19" i="53"/>
  <c r="AB19" i="53"/>
  <c r="AF19" i="53" s="1"/>
  <c r="AC19" i="53"/>
  <c r="AA20" i="53"/>
  <c r="AC20" i="53"/>
  <c r="AA21" i="53"/>
  <c r="AB21" i="53"/>
  <c r="AC21" i="53"/>
  <c r="AA22" i="53"/>
  <c r="AE22" i="53" s="1"/>
  <c r="R22" i="53" s="1"/>
  <c r="AB22" i="53"/>
  <c r="AC22" i="53"/>
  <c r="AA23" i="53"/>
  <c r="AB23" i="53"/>
  <c r="AC23" i="53"/>
  <c r="AA24" i="53"/>
  <c r="AB24" i="53"/>
  <c r="AC24" i="53"/>
  <c r="AA25" i="53"/>
  <c r="AB25" i="53"/>
  <c r="AC25" i="53"/>
  <c r="AA26" i="53"/>
  <c r="AB26" i="53"/>
  <c r="AC26" i="53"/>
  <c r="AA27" i="53"/>
  <c r="AB27" i="53"/>
  <c r="AC27" i="53"/>
  <c r="AA28" i="53"/>
  <c r="AB28" i="53"/>
  <c r="AC28" i="53"/>
  <c r="AA29" i="53"/>
  <c r="AB29" i="53"/>
  <c r="AF29" i="53" s="1"/>
  <c r="S29" i="53" s="1"/>
  <c r="AC29" i="53"/>
  <c r="AA30" i="53"/>
  <c r="AB30" i="53"/>
  <c r="AC30" i="53"/>
  <c r="AA31" i="53"/>
  <c r="AB31" i="53"/>
  <c r="AC31" i="53"/>
  <c r="AA32" i="53"/>
  <c r="AB32" i="53"/>
  <c r="AC32" i="53"/>
  <c r="AA33" i="53"/>
  <c r="AB33" i="53"/>
  <c r="AC33" i="53"/>
  <c r="AA34" i="53"/>
  <c r="AB34" i="53"/>
  <c r="AC34" i="53"/>
  <c r="AA35" i="53"/>
  <c r="AB35" i="53"/>
  <c r="AC35" i="53"/>
  <c r="AA36" i="53"/>
  <c r="AB36" i="53"/>
  <c r="AC36" i="53"/>
  <c r="AA37" i="53"/>
  <c r="AB37" i="53"/>
  <c r="AC37" i="53"/>
  <c r="AA38" i="53"/>
  <c r="AB38" i="53"/>
  <c r="AC38" i="53"/>
  <c r="AA39" i="53"/>
  <c r="AB39" i="53"/>
  <c r="AC39" i="53"/>
  <c r="AA40" i="53"/>
  <c r="AB40" i="53"/>
  <c r="AC40" i="53"/>
  <c r="AA41" i="53"/>
  <c r="AB41" i="53"/>
  <c r="AC41" i="53"/>
  <c r="AG41" i="53" s="1"/>
  <c r="T41" i="53" s="1"/>
  <c r="AA42" i="53"/>
  <c r="AB42" i="53"/>
  <c r="AC42" i="53"/>
  <c r="AA43" i="53"/>
  <c r="AB43" i="53"/>
  <c r="AC43" i="53"/>
  <c r="AA44" i="53"/>
  <c r="AB44" i="53"/>
  <c r="AC44" i="53"/>
  <c r="AG44" i="53" s="1"/>
  <c r="AA45" i="53"/>
  <c r="AC45" i="53"/>
  <c r="AG45" i="53" s="1"/>
  <c r="AA46" i="53"/>
  <c r="AB46" i="53"/>
  <c r="AC46" i="53"/>
  <c r="AG46" i="53" s="1"/>
  <c r="AA47" i="53"/>
  <c r="AB47" i="53"/>
  <c r="AC47" i="53"/>
  <c r="AG47" i="53" s="1"/>
  <c r="AA48" i="53"/>
  <c r="AB48" i="53"/>
  <c r="AC48" i="53"/>
  <c r="AG48" i="53" s="1"/>
  <c r="AA49" i="53"/>
  <c r="AB49" i="53"/>
  <c r="AC49" i="53"/>
  <c r="AG49" i="53" s="1"/>
  <c r="AA50" i="53"/>
  <c r="AB50" i="53"/>
  <c r="AC50" i="53"/>
  <c r="AG50" i="53" s="1"/>
  <c r="AA51" i="53"/>
  <c r="AB51" i="53"/>
  <c r="AC51" i="53"/>
  <c r="AG51" i="53" s="1"/>
  <c r="AA52" i="53"/>
  <c r="AB52" i="53"/>
  <c r="AC52" i="53"/>
  <c r="AG52" i="53" s="1"/>
  <c r="AA53" i="53"/>
  <c r="AB53" i="53"/>
  <c r="AC53" i="53"/>
  <c r="AG53" i="53" s="1"/>
  <c r="AA54" i="53"/>
  <c r="AB54" i="53"/>
  <c r="AC54" i="53"/>
  <c r="AG54" i="53" s="1"/>
  <c r="AA55" i="53"/>
  <c r="AB55" i="53"/>
  <c r="AC55" i="53"/>
  <c r="AG55" i="53" s="1"/>
  <c r="AA56" i="53"/>
  <c r="AB56" i="53"/>
  <c r="AC56" i="53"/>
  <c r="AG56" i="53" s="1"/>
  <c r="AA57" i="53"/>
  <c r="AE57" i="53" s="1"/>
  <c r="R57" i="53" s="1"/>
  <c r="AB57" i="53"/>
  <c r="AC57" i="53"/>
  <c r="AG57" i="53" s="1"/>
  <c r="AA58" i="53"/>
  <c r="AB58" i="53"/>
  <c r="AC58" i="53"/>
  <c r="AG58" i="53" s="1"/>
  <c r="AA59" i="53"/>
  <c r="AB59" i="53"/>
  <c r="AC59" i="53"/>
  <c r="AG59" i="53" s="1"/>
  <c r="AA60" i="53"/>
  <c r="AB60" i="53"/>
  <c r="AC60" i="53"/>
  <c r="AG60" i="53" s="1"/>
  <c r="AA61" i="53"/>
  <c r="AB61" i="53"/>
  <c r="AC61" i="53"/>
  <c r="AG61" i="53" s="1"/>
  <c r="AA62" i="53"/>
  <c r="AB62" i="53"/>
  <c r="AC62" i="53"/>
  <c r="AG62" i="53" s="1"/>
  <c r="AA63" i="53"/>
  <c r="AB63" i="53"/>
  <c r="AC63" i="53"/>
  <c r="AG63" i="53" s="1"/>
  <c r="AB12" i="53"/>
  <c r="AF12" i="53" s="1"/>
  <c r="AC12" i="53"/>
  <c r="AG12" i="53" s="1"/>
  <c r="AA12" i="53"/>
  <c r="AE12" i="53" s="1"/>
  <c r="AA51" i="30"/>
  <c r="AA48" i="30"/>
  <c r="AA46" i="30"/>
  <c r="AA44" i="30"/>
  <c r="AA42" i="30"/>
  <c r="AA40" i="30"/>
  <c r="AA38" i="30"/>
  <c r="AA36" i="30"/>
  <c r="AC25" i="30"/>
  <c r="AC23" i="30"/>
  <c r="AC21" i="30"/>
  <c r="AC19" i="30"/>
  <c r="AC17" i="30"/>
  <c r="AC15" i="30"/>
  <c r="AC13" i="30"/>
  <c r="AC11" i="30"/>
  <c r="L22" i="19"/>
  <c r="M22" i="19"/>
  <c r="N22" i="19"/>
  <c r="O22" i="19"/>
  <c r="P22" i="19"/>
  <c r="M24" i="19"/>
  <c r="O24" i="19"/>
  <c r="P24" i="19"/>
  <c r="Q24" i="19"/>
  <c r="L26" i="19"/>
  <c r="M26" i="19"/>
  <c r="N26" i="19"/>
  <c r="O26" i="19"/>
  <c r="P26" i="19"/>
  <c r="Q26" i="19"/>
  <c r="L28" i="19"/>
  <c r="M28" i="19"/>
  <c r="N28" i="19"/>
  <c r="O28" i="19"/>
  <c r="P28" i="19"/>
  <c r="Q28" i="19"/>
  <c r="L30" i="19"/>
  <c r="M30" i="19"/>
  <c r="N30" i="19"/>
  <c r="O30" i="19"/>
  <c r="P30" i="19"/>
  <c r="Q30" i="19"/>
  <c r="L32" i="19"/>
  <c r="M32" i="19"/>
  <c r="N32" i="19"/>
  <c r="O32" i="19"/>
  <c r="P32" i="19"/>
  <c r="Q32" i="19"/>
  <c r="L34" i="19"/>
  <c r="M34" i="19"/>
  <c r="N34" i="19"/>
  <c r="O34" i="19"/>
  <c r="P34" i="19"/>
  <c r="Q34" i="19"/>
  <c r="L36" i="19"/>
  <c r="M36" i="19"/>
  <c r="N36" i="19"/>
  <c r="O36" i="19"/>
  <c r="P36" i="19"/>
  <c r="M20" i="19"/>
  <c r="N20" i="19"/>
  <c r="O20" i="19"/>
  <c r="P20" i="19"/>
  <c r="Q20" i="19"/>
  <c r="Q22" i="19"/>
  <c r="N24" i="19"/>
  <c r="AD56" i="58"/>
  <c r="AD37" i="58"/>
  <c r="H29" i="82" l="1"/>
  <c r="N28" i="82"/>
  <c r="I29" i="82"/>
  <c r="O28" i="82"/>
  <c r="X40" i="83"/>
  <c r="M41" i="83"/>
  <c r="T40" i="83"/>
  <c r="G41" i="83"/>
  <c r="AG31" i="56"/>
  <c r="AI31" i="56"/>
  <c r="AH31" i="56"/>
  <c r="AI23" i="56"/>
  <c r="AH23" i="56"/>
  <c r="AG23" i="56"/>
  <c r="AI35" i="56"/>
  <c r="AH35" i="56"/>
  <c r="AG35" i="56"/>
  <c r="AG27" i="56"/>
  <c r="AI27" i="56"/>
  <c r="AH27" i="56"/>
  <c r="AG39" i="56"/>
  <c r="AI39" i="56"/>
  <c r="AH39" i="56"/>
  <c r="F44" i="83"/>
  <c r="N42" i="83"/>
  <c r="Y42" i="83" s="1"/>
  <c r="AF44" i="53"/>
  <c r="S44" i="53" s="1"/>
  <c r="AF40" i="53"/>
  <c r="S40" i="53" s="1"/>
  <c r="AF36" i="53"/>
  <c r="S36" i="53" s="1"/>
  <c r="AF32" i="53"/>
  <c r="S32" i="53" s="1"/>
  <c r="AF28" i="53"/>
  <c r="S28" i="53" s="1"/>
  <c r="AF24" i="53"/>
  <c r="S24" i="53" s="1"/>
  <c r="AF60" i="53"/>
  <c r="S60" i="53" s="1"/>
  <c r="AF56" i="53"/>
  <c r="S56" i="53" s="1"/>
  <c r="AF52" i="53"/>
  <c r="S52" i="53" s="1"/>
  <c r="AF48" i="53"/>
  <c r="S48" i="53" s="1"/>
  <c r="AE44" i="53"/>
  <c r="R44" i="53" s="1"/>
  <c r="AE40" i="53"/>
  <c r="R40" i="53" s="1"/>
  <c r="AE36" i="53"/>
  <c r="R36" i="53" s="1"/>
  <c r="AE28" i="53"/>
  <c r="R28" i="53" s="1"/>
  <c r="AE16" i="53"/>
  <c r="R16" i="53" s="1"/>
  <c r="AE60" i="53"/>
  <c r="R60" i="53" s="1"/>
  <c r="AE56" i="53"/>
  <c r="R56" i="53" s="1"/>
  <c r="AE52" i="53"/>
  <c r="R52" i="53" s="1"/>
  <c r="AE48" i="53"/>
  <c r="R48" i="53" s="1"/>
  <c r="AG43" i="53"/>
  <c r="T43" i="53" s="1"/>
  <c r="AG39" i="53"/>
  <c r="T39" i="53" s="1"/>
  <c r="AG35" i="53"/>
  <c r="T35" i="53" s="1"/>
  <c r="AG31" i="53"/>
  <c r="T31" i="53" s="1"/>
  <c r="AG27" i="53"/>
  <c r="T27" i="53" s="1"/>
  <c r="AG23" i="53"/>
  <c r="T23" i="53" s="1"/>
  <c r="AG19" i="53"/>
  <c r="T19" i="53" s="1"/>
  <c r="AF43" i="53"/>
  <c r="S43" i="53" s="1"/>
  <c r="AF39" i="53"/>
  <c r="S39" i="53" s="1"/>
  <c r="AF35" i="53"/>
  <c r="S35" i="53" s="1"/>
  <c r="AF31" i="53"/>
  <c r="S31" i="53" s="1"/>
  <c r="AF27" i="53"/>
  <c r="S27" i="53" s="1"/>
  <c r="AF23" i="53"/>
  <c r="S23" i="53" s="1"/>
  <c r="AF63" i="53"/>
  <c r="S63" i="53" s="1"/>
  <c r="AF59" i="53"/>
  <c r="S59" i="53" s="1"/>
  <c r="AF55" i="53"/>
  <c r="S55" i="53" s="1"/>
  <c r="AF51" i="53"/>
  <c r="S51" i="53" s="1"/>
  <c r="AF47" i="53"/>
  <c r="S47" i="53" s="1"/>
  <c r="AE43" i="53"/>
  <c r="R43" i="53" s="1"/>
  <c r="AE39" i="53"/>
  <c r="R39" i="53" s="1"/>
  <c r="AE35" i="53"/>
  <c r="R35" i="53" s="1"/>
  <c r="AE31" i="53"/>
  <c r="R31" i="53" s="1"/>
  <c r="AE27" i="53"/>
  <c r="R27" i="53" s="1"/>
  <c r="AE23" i="53"/>
  <c r="R23" i="53" s="1"/>
  <c r="AE19" i="53"/>
  <c r="R19" i="53" s="1"/>
  <c r="AE63" i="53"/>
  <c r="R63" i="53" s="1"/>
  <c r="AE59" i="53"/>
  <c r="R59" i="53" s="1"/>
  <c r="AE55" i="53"/>
  <c r="R55" i="53" s="1"/>
  <c r="AE51" i="53"/>
  <c r="R51" i="53" s="1"/>
  <c r="AE47" i="53"/>
  <c r="R47" i="53" s="1"/>
  <c r="AG42" i="53"/>
  <c r="T42" i="53" s="1"/>
  <c r="AG38" i="53"/>
  <c r="T38" i="53" s="1"/>
  <c r="AG34" i="53"/>
  <c r="T34" i="53" s="1"/>
  <c r="AG30" i="53"/>
  <c r="T30" i="53" s="1"/>
  <c r="AG26" i="53"/>
  <c r="T26" i="53" s="1"/>
  <c r="AG22" i="53"/>
  <c r="T22" i="53" s="1"/>
  <c r="AG18" i="53"/>
  <c r="T18" i="53" s="1"/>
  <c r="AF42" i="53"/>
  <c r="S42" i="53" s="1"/>
  <c r="AF38" i="53"/>
  <c r="S38" i="53" s="1"/>
  <c r="AF34" i="53"/>
  <c r="S34" i="53" s="1"/>
  <c r="AF30" i="53"/>
  <c r="S30" i="53" s="1"/>
  <c r="AF26" i="53"/>
  <c r="S26" i="53" s="1"/>
  <c r="AF22" i="53"/>
  <c r="S22" i="53" s="1"/>
  <c r="AF62" i="53"/>
  <c r="S62" i="53" s="1"/>
  <c r="AF58" i="53"/>
  <c r="S58" i="53" s="1"/>
  <c r="AF54" i="53"/>
  <c r="S54" i="53" s="1"/>
  <c r="AF50" i="53"/>
  <c r="S50" i="53" s="1"/>
  <c r="AF46" i="53"/>
  <c r="S46" i="53" s="1"/>
  <c r="AE42" i="53"/>
  <c r="R42" i="53" s="1"/>
  <c r="AE38" i="53"/>
  <c r="R38" i="53" s="1"/>
  <c r="AE34" i="53"/>
  <c r="R34" i="53" s="1"/>
  <c r="AE30" i="53"/>
  <c r="R30" i="53" s="1"/>
  <c r="AE26" i="53"/>
  <c r="R26" i="53" s="1"/>
  <c r="AE18" i="53"/>
  <c r="R18" i="53" s="1"/>
  <c r="AE62" i="53"/>
  <c r="R62" i="53" s="1"/>
  <c r="AE58" i="53"/>
  <c r="R58" i="53" s="1"/>
  <c r="AE54" i="53"/>
  <c r="R54" i="53" s="1"/>
  <c r="AE50" i="53"/>
  <c r="R50" i="53" s="1"/>
  <c r="AE46" i="53"/>
  <c r="R46" i="53" s="1"/>
  <c r="AG37" i="53"/>
  <c r="T37" i="53" s="1"/>
  <c r="AG33" i="53"/>
  <c r="T33" i="53" s="1"/>
  <c r="AG29" i="53"/>
  <c r="T29" i="53" s="1"/>
  <c r="AG25" i="53"/>
  <c r="T25" i="53" s="1"/>
  <c r="AG21" i="53"/>
  <c r="T21" i="53" s="1"/>
  <c r="AG17" i="53"/>
  <c r="T17" i="53" s="1"/>
  <c r="AE32" i="53"/>
  <c r="R32" i="53" s="1"/>
  <c r="AE24" i="53"/>
  <c r="R24" i="53" s="1"/>
  <c r="AE20" i="53"/>
  <c r="R20" i="53" s="1"/>
  <c r="AF41" i="53"/>
  <c r="S41" i="53" s="1"/>
  <c r="AF37" i="53"/>
  <c r="S37" i="53" s="1"/>
  <c r="AF33" i="53"/>
  <c r="S33" i="53" s="1"/>
  <c r="AF25" i="53"/>
  <c r="S25" i="53" s="1"/>
  <c r="AF21" i="53"/>
  <c r="S21" i="53" s="1"/>
  <c r="AF61" i="53"/>
  <c r="S61" i="53" s="1"/>
  <c r="AF57" i="53"/>
  <c r="S57" i="53" s="1"/>
  <c r="AF53" i="53"/>
  <c r="S53" i="53" s="1"/>
  <c r="AF49" i="53"/>
  <c r="S49" i="53" s="1"/>
  <c r="AE45" i="53"/>
  <c r="R45" i="53" s="1"/>
  <c r="AE41" i="53"/>
  <c r="R41" i="53" s="1"/>
  <c r="AE37" i="53"/>
  <c r="R37" i="53" s="1"/>
  <c r="AE33" i="53"/>
  <c r="R33" i="53" s="1"/>
  <c r="AE29" i="53"/>
  <c r="R29" i="53" s="1"/>
  <c r="AE25" i="53"/>
  <c r="R25" i="53" s="1"/>
  <c r="AE21" i="53"/>
  <c r="R21" i="53" s="1"/>
  <c r="AE17" i="53"/>
  <c r="R17" i="53" s="1"/>
  <c r="AE61" i="53"/>
  <c r="R61" i="53" s="1"/>
  <c r="AE53" i="53"/>
  <c r="R53" i="53" s="1"/>
  <c r="AE49" i="53"/>
  <c r="R49" i="53" s="1"/>
  <c r="AG40" i="53"/>
  <c r="T40" i="53" s="1"/>
  <c r="AG36" i="53"/>
  <c r="T36" i="53" s="1"/>
  <c r="AG32" i="53"/>
  <c r="T32" i="53" s="1"/>
  <c r="AG28" i="53"/>
  <c r="T28" i="53" s="1"/>
  <c r="AG24" i="53"/>
  <c r="T24" i="53" s="1"/>
  <c r="AG20" i="53"/>
  <c r="T20" i="53" s="1"/>
  <c r="AF45" i="53"/>
  <c r="S45" i="53" s="1"/>
  <c r="H30" i="82" l="1"/>
  <c r="N29" i="82"/>
  <c r="I30" i="82"/>
  <c r="O29" i="82"/>
  <c r="X41" i="83"/>
  <c r="M42" i="83"/>
  <c r="S44" i="83"/>
  <c r="T41" i="83"/>
  <c r="G42" i="83"/>
  <c r="N43" i="83"/>
  <c r="Y43" i="83" s="1"/>
  <c r="AA25" i="30"/>
  <c r="AA23" i="30"/>
  <c r="AA21" i="30"/>
  <c r="AA19" i="30"/>
  <c r="AA17" i="30"/>
  <c r="AA15" i="30"/>
  <c r="AA13" i="30"/>
  <c r="AA11" i="30"/>
  <c r="T11" i="30"/>
  <c r="R11" i="30"/>
  <c r="T25" i="30"/>
  <c r="T23" i="30"/>
  <c r="T21" i="30"/>
  <c r="T19" i="30"/>
  <c r="T17" i="30"/>
  <c r="T15" i="30"/>
  <c r="T13" i="30"/>
  <c r="R25" i="30"/>
  <c r="R23" i="30"/>
  <c r="R21" i="30"/>
  <c r="R19" i="30"/>
  <c r="R17" i="30"/>
  <c r="R15" i="30"/>
  <c r="R13" i="30"/>
  <c r="P25" i="30"/>
  <c r="Q25" i="30" s="1"/>
  <c r="P21" i="30"/>
  <c r="Q21" i="30" s="1"/>
  <c r="P13" i="30"/>
  <c r="Q13" i="30" s="1"/>
  <c r="P23" i="30"/>
  <c r="Q23" i="30" s="1"/>
  <c r="P19" i="30"/>
  <c r="Q19" i="30" s="1"/>
  <c r="P17" i="30"/>
  <c r="Q17" i="30" s="1"/>
  <c r="P15" i="30"/>
  <c r="Q15" i="30" s="1"/>
  <c r="P11" i="30"/>
  <c r="Q11" i="30" s="1"/>
  <c r="I31" i="82" l="1"/>
  <c r="O30" i="82"/>
  <c r="H31" i="82"/>
  <c r="N30" i="82"/>
  <c r="X42" i="83"/>
  <c r="M43" i="83"/>
  <c r="T42" i="83"/>
  <c r="G43" i="83"/>
  <c r="U11" i="30"/>
  <c r="V11" i="30" s="1"/>
  <c r="N44" i="83"/>
  <c r="U25" i="30"/>
  <c r="V25" i="30" s="1"/>
  <c r="U17" i="30"/>
  <c r="V17" i="30" s="1"/>
  <c r="U19" i="30"/>
  <c r="V19" i="30" s="1"/>
  <c r="U15" i="30"/>
  <c r="V15" i="30" s="1"/>
  <c r="U23" i="30"/>
  <c r="V23" i="30" s="1"/>
  <c r="U13" i="30"/>
  <c r="V13" i="30" s="1"/>
  <c r="U21" i="30"/>
  <c r="V21" i="30" s="1"/>
  <c r="H32" i="82" l="1"/>
  <c r="N31" i="82"/>
  <c r="I32" i="82"/>
  <c r="O31" i="82"/>
  <c r="Y44" i="83"/>
  <c r="X43" i="83"/>
  <c r="M44" i="83"/>
  <c r="T43" i="83"/>
  <c r="G44" i="83"/>
  <c r="X29" i="58"/>
  <c r="Y29" i="58" s="1"/>
  <c r="X23" i="58"/>
  <c r="Y23" i="58" s="1"/>
  <c r="X25" i="58"/>
  <c r="Y25" i="58" s="1"/>
  <c r="X26" i="58"/>
  <c r="Y26" i="58" s="1"/>
  <c r="X27" i="58"/>
  <c r="Y27" i="58" s="1"/>
  <c r="X28" i="58"/>
  <c r="Y28" i="58" s="1"/>
  <c r="I33" i="82" l="1"/>
  <c r="O32" i="82"/>
  <c r="H33" i="82"/>
  <c r="N32" i="82"/>
  <c r="X44" i="83"/>
  <c r="T44" i="83"/>
  <c r="T46" i="30"/>
  <c r="R36" i="30"/>
  <c r="I34" i="82" l="1"/>
  <c r="O33" i="82"/>
  <c r="H34" i="82"/>
  <c r="N33" i="82"/>
  <c r="U36" i="30"/>
  <c r="V36" i="30" s="1"/>
  <c r="T51" i="30"/>
  <c r="T48" i="30"/>
  <c r="T44" i="30"/>
  <c r="T42" i="30"/>
  <c r="T40" i="30"/>
  <c r="T38" i="30"/>
  <c r="R40" i="30"/>
  <c r="P42" i="30"/>
  <c r="Q42" i="30" s="1"/>
  <c r="R44" i="30"/>
  <c r="P46" i="30"/>
  <c r="Q46" i="30" s="1"/>
  <c r="R38" i="30"/>
  <c r="R51" i="30"/>
  <c r="P51" i="30"/>
  <c r="Q51" i="30" s="1"/>
  <c r="R48" i="30"/>
  <c r="P48" i="30"/>
  <c r="Q48" i="30" s="1"/>
  <c r="R46" i="30"/>
  <c r="U46" i="30" s="1"/>
  <c r="V46" i="30" s="1"/>
  <c r="P36" i="30"/>
  <c r="Q36" i="30" s="1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12" i="7"/>
  <c r="U38" i="30" l="1"/>
  <c r="V38" i="30" s="1"/>
  <c r="H35" i="82"/>
  <c r="N34" i="82"/>
  <c r="I35" i="82"/>
  <c r="O34" i="82"/>
  <c r="U40" i="30"/>
  <c r="V40" i="30" s="1"/>
  <c r="U48" i="30"/>
  <c r="V48" i="30" s="1"/>
  <c r="U51" i="30"/>
  <c r="V51" i="30" s="1"/>
  <c r="U44" i="30"/>
  <c r="V44" i="30" s="1"/>
  <c r="R42" i="30"/>
  <c r="U42" i="30" s="1"/>
  <c r="V42" i="30" s="1"/>
  <c r="P44" i="30"/>
  <c r="Q44" i="30" s="1"/>
  <c r="P40" i="30"/>
  <c r="Q40" i="30" s="1"/>
  <c r="P38" i="30"/>
  <c r="Q38" i="30" s="1"/>
  <c r="I36" i="82" l="1"/>
  <c r="O35" i="82"/>
  <c r="H36" i="82"/>
  <c r="N35" i="82"/>
  <c r="AH15" i="6"/>
  <c r="AE58" i="58"/>
  <c r="AE57" i="58"/>
  <c r="AE39" i="58"/>
  <c r="AD39" i="58"/>
  <c r="AE38" i="58"/>
  <c r="AD38" i="58"/>
  <c r="AE37" i="58"/>
  <c r="AE29" i="58"/>
  <c r="AE28" i="58"/>
  <c r="AE27" i="58"/>
  <c r="AE26" i="58"/>
  <c r="AE25" i="58"/>
  <c r="AE24" i="58"/>
  <c r="AE23" i="58"/>
  <c r="AE22" i="58"/>
  <c r="AD29" i="58"/>
  <c r="AD28" i="58"/>
  <c r="AD27" i="58"/>
  <c r="AD26" i="58"/>
  <c r="AD25" i="58"/>
  <c r="AD24" i="58"/>
  <c r="AD23" i="58"/>
  <c r="AD22" i="58"/>
  <c r="I37" i="82" l="1"/>
  <c r="O36" i="82"/>
  <c r="H37" i="82"/>
  <c r="N36" i="82"/>
  <c r="U38" i="58"/>
  <c r="H38" i="82" l="1"/>
  <c r="N37" i="82"/>
  <c r="I38" i="82"/>
  <c r="O37" i="82"/>
  <c r="AD53" i="58"/>
  <c r="AD52" i="58"/>
  <c r="AD43" i="58"/>
  <c r="AD42" i="58"/>
  <c r="AD40" i="58"/>
  <c r="M23" i="58"/>
  <c r="AE56" i="58"/>
  <c r="AE55" i="58"/>
  <c r="AE53" i="58"/>
  <c r="AE52" i="58"/>
  <c r="AE51" i="58"/>
  <c r="U58" i="58"/>
  <c r="M51" i="58"/>
  <c r="M43" i="58"/>
  <c r="M39" i="58"/>
  <c r="U29" i="58"/>
  <c r="U27" i="58"/>
  <c r="M24" i="58"/>
  <c r="M25" i="58"/>
  <c r="M26" i="58"/>
  <c r="M27" i="58"/>
  <c r="M28" i="58"/>
  <c r="M22" i="58"/>
  <c r="I39" i="82" l="1"/>
  <c r="O38" i="82"/>
  <c r="H39" i="82"/>
  <c r="N38" i="82"/>
  <c r="U53" i="58"/>
  <c r="M40" i="58"/>
  <c r="AD54" i="58"/>
  <c r="AD55" i="58"/>
  <c r="U43" i="58"/>
  <c r="AE43" i="58"/>
  <c r="AD58" i="58"/>
  <c r="M53" i="58"/>
  <c r="AD41" i="58"/>
  <c r="AD57" i="58"/>
  <c r="U44" i="58"/>
  <c r="AE44" i="58"/>
  <c r="M52" i="58"/>
  <c r="AE40" i="58"/>
  <c r="AE41" i="58"/>
  <c r="U42" i="58"/>
  <c r="AE42" i="58"/>
  <c r="AD44" i="58"/>
  <c r="AE54" i="58"/>
  <c r="AD51" i="58"/>
  <c r="U54" i="58"/>
  <c r="U41" i="58"/>
  <c r="M54" i="58"/>
  <c r="M37" i="58"/>
  <c r="M58" i="58"/>
  <c r="M57" i="58"/>
  <c r="M41" i="58"/>
  <c r="M42" i="58"/>
  <c r="M55" i="58"/>
  <c r="M44" i="58"/>
  <c r="M56" i="58"/>
  <c r="M29" i="58"/>
  <c r="U55" i="58"/>
  <c r="U56" i="58"/>
  <c r="U39" i="58"/>
  <c r="U51" i="58"/>
  <c r="U57" i="58"/>
  <c r="U40" i="58"/>
  <c r="U52" i="58"/>
  <c r="U28" i="58"/>
  <c r="U23" i="58"/>
  <c r="U24" i="58"/>
  <c r="U25" i="58"/>
  <c r="U26" i="58"/>
  <c r="P23" i="11"/>
  <c r="P22" i="11"/>
  <c r="P21" i="11"/>
  <c r="P20" i="11"/>
  <c r="P19" i="11"/>
  <c r="P18" i="11"/>
  <c r="P17" i="11"/>
  <c r="P16" i="11"/>
  <c r="P15" i="11"/>
  <c r="P14" i="11"/>
  <c r="P13" i="11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L14" i="63"/>
  <c r="L15" i="63"/>
  <c r="L16" i="63"/>
  <c r="L17" i="63"/>
  <c r="L18" i="63"/>
  <c r="L19" i="63"/>
  <c r="L20" i="63"/>
  <c r="L21" i="63"/>
  <c r="L22" i="63"/>
  <c r="L23" i="63"/>
  <c r="L24" i="63"/>
  <c r="L25" i="63"/>
  <c r="L26" i="63"/>
  <c r="L27" i="63"/>
  <c r="AJ14" i="63"/>
  <c r="AC41" i="63"/>
  <c r="AC40" i="63"/>
  <c r="AC39" i="63"/>
  <c r="AC38" i="63"/>
  <c r="AC37" i="63"/>
  <c r="AC36" i="63"/>
  <c r="AC35" i="63"/>
  <c r="AC34" i="63"/>
  <c r="AC33" i="63"/>
  <c r="AC32" i="63"/>
  <c r="AC31" i="63"/>
  <c r="AC30" i="63"/>
  <c r="AC29" i="63"/>
  <c r="AC28" i="63"/>
  <c r="AC27" i="63"/>
  <c r="AC26" i="63"/>
  <c r="AC25" i="63"/>
  <c r="AC24" i="63"/>
  <c r="AC23" i="63"/>
  <c r="AC22" i="63"/>
  <c r="AC21" i="63"/>
  <c r="AC20" i="63"/>
  <c r="AC19" i="63"/>
  <c r="AC18" i="63"/>
  <c r="AC17" i="63"/>
  <c r="AC16" i="63"/>
  <c r="AC15" i="63"/>
  <c r="AK50" i="6"/>
  <c r="AK49" i="6"/>
  <c r="AK48" i="6"/>
  <c r="AK47" i="6"/>
  <c r="AK46" i="6"/>
  <c r="AK45" i="6"/>
  <c r="AK44" i="6"/>
  <c r="AK43" i="6"/>
  <c r="AK42" i="6"/>
  <c r="AK41" i="6"/>
  <c r="AK40" i="6"/>
  <c r="AK39" i="6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4" i="6"/>
  <c r="AK23" i="6"/>
  <c r="AK22" i="6"/>
  <c r="AK21" i="6"/>
  <c r="AK20" i="6"/>
  <c r="AK19" i="6"/>
  <c r="AK18" i="6"/>
  <c r="AK17" i="6"/>
  <c r="AK16" i="6"/>
  <c r="AK15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P12" i="11"/>
  <c r="G20" i="11"/>
  <c r="H20" i="11" s="1"/>
  <c r="G13" i="11"/>
  <c r="H13" i="11" s="1"/>
  <c r="I13" i="11"/>
  <c r="G14" i="11"/>
  <c r="H14" i="11" s="1"/>
  <c r="I14" i="11"/>
  <c r="G15" i="11"/>
  <c r="H15" i="11" s="1"/>
  <c r="I15" i="11"/>
  <c r="G16" i="11"/>
  <c r="H16" i="11" s="1"/>
  <c r="I16" i="11"/>
  <c r="G17" i="11"/>
  <c r="H17" i="11" s="1"/>
  <c r="I17" i="11"/>
  <c r="G18" i="11"/>
  <c r="H18" i="11" s="1"/>
  <c r="I18" i="11"/>
  <c r="G19" i="11"/>
  <c r="H19" i="11" s="1"/>
  <c r="I19" i="11"/>
  <c r="I20" i="11"/>
  <c r="G21" i="11"/>
  <c r="H21" i="11" s="1"/>
  <c r="I21" i="11"/>
  <c r="G22" i="11"/>
  <c r="H22" i="11" s="1"/>
  <c r="I22" i="11"/>
  <c r="G23" i="11"/>
  <c r="H23" i="11" s="1"/>
  <c r="I23" i="11"/>
  <c r="I12" i="11"/>
  <c r="G12" i="11"/>
  <c r="H12" i="11" s="1"/>
  <c r="H40" i="82" l="1"/>
  <c r="N39" i="82"/>
  <c r="I40" i="82"/>
  <c r="O39" i="82"/>
  <c r="I41" i="82" l="1"/>
  <c r="O40" i="82"/>
  <c r="H41" i="82"/>
  <c r="N40" i="82"/>
  <c r="R12" i="7"/>
  <c r="H13" i="7"/>
  <c r="I13" i="7" s="1"/>
  <c r="H14" i="7"/>
  <c r="I14" i="7" s="1"/>
  <c r="H15" i="7"/>
  <c r="I15" i="7" s="1"/>
  <c r="H16" i="7"/>
  <c r="I16" i="7" s="1"/>
  <c r="H17" i="7"/>
  <c r="I17" i="7" s="1"/>
  <c r="H18" i="7"/>
  <c r="I18" i="7" s="1"/>
  <c r="H19" i="7"/>
  <c r="I19" i="7" s="1"/>
  <c r="H20" i="7"/>
  <c r="I20" i="7" s="1"/>
  <c r="H21" i="7"/>
  <c r="I21" i="7" s="1"/>
  <c r="H22" i="7"/>
  <c r="I22" i="7" s="1"/>
  <c r="H23" i="7"/>
  <c r="I23" i="7" s="1"/>
  <c r="H24" i="7"/>
  <c r="I24" i="7" s="1"/>
  <c r="H25" i="7"/>
  <c r="I25" i="7" s="1"/>
  <c r="H26" i="7"/>
  <c r="I26" i="7" s="1"/>
  <c r="H27" i="7"/>
  <c r="I27" i="7" s="1"/>
  <c r="H28" i="7"/>
  <c r="I28" i="7" s="1"/>
  <c r="H29" i="7"/>
  <c r="I29" i="7" s="1"/>
  <c r="H30" i="7"/>
  <c r="I30" i="7" s="1"/>
  <c r="H31" i="7"/>
  <c r="I31" i="7" s="1"/>
  <c r="H32" i="7"/>
  <c r="I32" i="7" s="1"/>
  <c r="H33" i="7"/>
  <c r="I33" i="7" s="1"/>
  <c r="H34" i="7"/>
  <c r="I34" i="7" s="1"/>
  <c r="H35" i="7"/>
  <c r="I35" i="7" s="1"/>
  <c r="H36" i="7"/>
  <c r="I36" i="7" s="1"/>
  <c r="H37" i="7"/>
  <c r="I37" i="7" s="1"/>
  <c r="H38" i="7"/>
  <c r="I38" i="7" s="1"/>
  <c r="H39" i="7"/>
  <c r="I39" i="7" s="1"/>
  <c r="H40" i="7"/>
  <c r="I40" i="7" s="1"/>
  <c r="H41" i="7"/>
  <c r="I41" i="7" s="1"/>
  <c r="H42" i="7"/>
  <c r="I42" i="7" s="1"/>
  <c r="H43" i="7"/>
  <c r="I43" i="7" s="1"/>
  <c r="H44" i="7"/>
  <c r="I44" i="7" s="1"/>
  <c r="H45" i="7"/>
  <c r="I45" i="7" s="1"/>
  <c r="H46" i="7"/>
  <c r="I46" i="7" s="1"/>
  <c r="H47" i="7"/>
  <c r="I47" i="7" s="1"/>
  <c r="H12" i="7"/>
  <c r="I12" i="7" s="1"/>
  <c r="AJ25" i="63"/>
  <c r="AJ24" i="63"/>
  <c r="AJ23" i="63"/>
  <c r="AJ22" i="63"/>
  <c r="AJ21" i="63"/>
  <c r="AJ20" i="63"/>
  <c r="AJ19" i="63"/>
  <c r="AJ18" i="63"/>
  <c r="AJ17" i="63"/>
  <c r="AJ16" i="63"/>
  <c r="AJ15" i="63"/>
  <c r="AD15" i="6"/>
  <c r="H42" i="82" l="1"/>
  <c r="N41" i="82"/>
  <c r="I42" i="82"/>
  <c r="O41" i="82"/>
  <c r="B40" i="71"/>
  <c r="N40" i="71" s="1"/>
  <c r="C40" i="71"/>
  <c r="C42" i="71"/>
  <c r="N42" i="71" s="1"/>
  <c r="B44" i="71"/>
  <c r="C44" i="71"/>
  <c r="N44" i="71" l="1"/>
  <c r="H43" i="82"/>
  <c r="N42" i="82"/>
  <c r="I43" i="82"/>
  <c r="O42" i="82"/>
  <c r="I38" i="58"/>
  <c r="H39" i="58" s="1"/>
  <c r="I39" i="58"/>
  <c r="H40" i="58" s="1"/>
  <c r="I40" i="58"/>
  <c r="H41" i="58" s="1"/>
  <c r="I41" i="58"/>
  <c r="H42" i="58" s="1"/>
  <c r="I42" i="58"/>
  <c r="H43" i="58" s="1"/>
  <c r="I43" i="58"/>
  <c r="H44" i="58" s="1"/>
  <c r="AB44" i="58" s="1"/>
  <c r="AB37" i="58"/>
  <c r="H24" i="58"/>
  <c r="H25" i="58"/>
  <c r="H26" i="58"/>
  <c r="H27" i="58"/>
  <c r="H28" i="58"/>
  <c r="H29" i="58"/>
  <c r="H23" i="58"/>
  <c r="AA48" i="58"/>
  <c r="AA34" i="58"/>
  <c r="H44" i="82" l="1"/>
  <c r="N44" i="82" s="1"/>
  <c r="N43" i="82"/>
  <c r="I44" i="82"/>
  <c r="O44" i="82" s="1"/>
  <c r="O43" i="82"/>
  <c r="AB39" i="58"/>
  <c r="AB41" i="58"/>
  <c r="AB40" i="58"/>
  <c r="AB43" i="58"/>
  <c r="AB42" i="58"/>
  <c r="I53" i="58"/>
  <c r="H38" i="58"/>
  <c r="AB38" i="58" s="1"/>
  <c r="M8" i="53"/>
  <c r="K20" i="19"/>
  <c r="P49" i="6" l="1"/>
  <c r="P47" i="6"/>
  <c r="P45" i="6"/>
  <c r="P43" i="6"/>
  <c r="P41" i="6"/>
  <c r="P39" i="6"/>
  <c r="P37" i="6"/>
  <c r="P35" i="6"/>
  <c r="P33" i="6"/>
  <c r="P31" i="6"/>
  <c r="P29" i="6"/>
  <c r="P27" i="6"/>
  <c r="P25" i="6"/>
  <c r="P23" i="6"/>
  <c r="P21" i="6"/>
  <c r="P19" i="6"/>
  <c r="P17" i="6"/>
  <c r="P15" i="6"/>
  <c r="N8" i="61"/>
  <c r="S15" i="62"/>
  <c r="B11" i="68"/>
  <c r="M13" i="53"/>
  <c r="N9" i="61"/>
  <c r="U8" i="60"/>
  <c r="S8" i="56"/>
  <c r="M6" i="62"/>
  <c r="M7" i="62"/>
  <c r="M5" i="62"/>
  <c r="U6" i="60"/>
  <c r="U7" i="60"/>
  <c r="U5" i="60"/>
  <c r="S6" i="56"/>
  <c r="S7" i="56"/>
  <c r="S5" i="56"/>
  <c r="M6" i="53"/>
  <c r="M7" i="53"/>
  <c r="M5" i="53"/>
  <c r="K10" i="19"/>
  <c r="K11" i="19"/>
  <c r="K9" i="19"/>
  <c r="AA15" i="58"/>
  <c r="AA16" i="58"/>
  <c r="AA14" i="58"/>
  <c r="K7" i="11"/>
  <c r="K8" i="11"/>
  <c r="K6" i="11"/>
  <c r="M7" i="7"/>
  <c r="M8" i="7"/>
  <c r="M6" i="7"/>
  <c r="X9" i="63"/>
  <c r="X10" i="63"/>
  <c r="X8" i="63"/>
  <c r="Y10" i="6"/>
  <c r="Y11" i="6"/>
  <c r="Y9" i="6"/>
  <c r="N43" i="61"/>
  <c r="N44" i="61"/>
  <c r="N6" i="61"/>
  <c r="N7" i="61"/>
  <c r="N5" i="61"/>
  <c r="F9" i="33" l="1"/>
  <c r="F8" i="33"/>
  <c r="Q9" i="33"/>
  <c r="Q8" i="33"/>
  <c r="K10" i="11"/>
  <c r="H16" i="6"/>
  <c r="H17" i="6"/>
  <c r="H18" i="6"/>
  <c r="H19" i="6"/>
  <c r="H21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15" i="6"/>
  <c r="P15" i="63"/>
  <c r="P16" i="63"/>
  <c r="P17" i="63"/>
  <c r="P18" i="63"/>
  <c r="P19" i="63"/>
  <c r="P20" i="63"/>
  <c r="P21" i="63"/>
  <c r="P22" i="63"/>
  <c r="P23" i="63"/>
  <c r="P24" i="63"/>
  <c r="P25" i="63"/>
  <c r="P14" i="63"/>
  <c r="H15" i="63"/>
  <c r="H16" i="63"/>
  <c r="H17" i="63"/>
  <c r="H18" i="63"/>
  <c r="H19" i="63"/>
  <c r="H20" i="63"/>
  <c r="H21" i="63"/>
  <c r="H22" i="63"/>
  <c r="H23" i="63"/>
  <c r="H24" i="63"/>
  <c r="H25" i="63"/>
  <c r="H26" i="63"/>
  <c r="H27" i="63"/>
  <c r="H28" i="63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14" i="63"/>
  <c r="Z29" i="63"/>
  <c r="Z28" i="63"/>
  <c r="Z27" i="63"/>
  <c r="Z26" i="63"/>
  <c r="Q13" i="62"/>
  <c r="Q14" i="62"/>
  <c r="Q15" i="62"/>
  <c r="Q16" i="62"/>
  <c r="Q17" i="62"/>
  <c r="Q18" i="62"/>
  <c r="Q19" i="62"/>
  <c r="Q21" i="62"/>
  <c r="Q22" i="62"/>
  <c r="Q23" i="62"/>
  <c r="Q24" i="62"/>
  <c r="Q25" i="62"/>
  <c r="Q26" i="62"/>
  <c r="Q27" i="62"/>
  <c r="Z41" i="63"/>
  <c r="Z40" i="63"/>
  <c r="Z39" i="63"/>
  <c r="Z38" i="63"/>
  <c r="Z37" i="63"/>
  <c r="Z36" i="63"/>
  <c r="Z35" i="63"/>
  <c r="Z34" i="63"/>
  <c r="Z33" i="63"/>
  <c r="Z32" i="63"/>
  <c r="Z31" i="63"/>
  <c r="Z30" i="63"/>
  <c r="Z25" i="63"/>
  <c r="Z24" i="63"/>
  <c r="Z23" i="63"/>
  <c r="Z22" i="63"/>
  <c r="Z21" i="63"/>
  <c r="Z20" i="63"/>
  <c r="Z19" i="63"/>
  <c r="Z18" i="63"/>
  <c r="Z17" i="63"/>
  <c r="Z16" i="63"/>
  <c r="Z15" i="63"/>
  <c r="Z14" i="63"/>
  <c r="N21" i="63"/>
  <c r="M21" i="63"/>
  <c r="N20" i="63"/>
  <c r="M20" i="63"/>
  <c r="N19" i="63"/>
  <c r="M19" i="63"/>
  <c r="N18" i="63"/>
  <c r="M18" i="63"/>
  <c r="N17" i="63"/>
  <c r="M17" i="63"/>
  <c r="N16" i="63"/>
  <c r="M16" i="63"/>
  <c r="N15" i="63"/>
  <c r="M15" i="63"/>
  <c r="N14" i="63"/>
  <c r="M14" i="63"/>
  <c r="N41" i="63"/>
  <c r="L41" i="63"/>
  <c r="M41" i="63" s="1"/>
  <c r="N40" i="63"/>
  <c r="L40" i="63"/>
  <c r="M40" i="63" s="1"/>
  <c r="N39" i="63"/>
  <c r="L39" i="63"/>
  <c r="M39" i="63" s="1"/>
  <c r="N38" i="63"/>
  <c r="L38" i="63"/>
  <c r="M38" i="63" s="1"/>
  <c r="N37" i="63"/>
  <c r="L37" i="63"/>
  <c r="M37" i="63" s="1"/>
  <c r="N36" i="63"/>
  <c r="L36" i="63"/>
  <c r="M36" i="63" s="1"/>
  <c r="N35" i="63"/>
  <c r="L35" i="63"/>
  <c r="M35" i="63" s="1"/>
  <c r="N34" i="63"/>
  <c r="L34" i="63"/>
  <c r="M34" i="63" s="1"/>
  <c r="V25" i="63"/>
  <c r="T25" i="63"/>
  <c r="U25" i="63" s="1"/>
  <c r="N33" i="63"/>
  <c r="L33" i="63"/>
  <c r="M33" i="63" s="1"/>
  <c r="V24" i="63"/>
  <c r="T24" i="63"/>
  <c r="U24" i="63" s="1"/>
  <c r="N32" i="63"/>
  <c r="L32" i="63"/>
  <c r="M32" i="63" s="1"/>
  <c r="V23" i="63"/>
  <c r="T23" i="63"/>
  <c r="U23" i="63" s="1"/>
  <c r="N31" i="63"/>
  <c r="L31" i="63"/>
  <c r="M31" i="63" s="1"/>
  <c r="V22" i="63"/>
  <c r="T22" i="63"/>
  <c r="U22" i="63" s="1"/>
  <c r="N30" i="63"/>
  <c r="L30" i="63"/>
  <c r="M30" i="63" s="1"/>
  <c r="V21" i="63"/>
  <c r="T21" i="63"/>
  <c r="U21" i="63" s="1"/>
  <c r="N29" i="63"/>
  <c r="L29" i="63"/>
  <c r="M29" i="63" s="1"/>
  <c r="V20" i="63"/>
  <c r="T20" i="63"/>
  <c r="U20" i="63" s="1"/>
  <c r="N28" i="63"/>
  <c r="L28" i="63"/>
  <c r="M28" i="63" s="1"/>
  <c r="V19" i="63"/>
  <c r="T19" i="63"/>
  <c r="U19" i="63" s="1"/>
  <c r="N27" i="63"/>
  <c r="M27" i="63"/>
  <c r="V18" i="63"/>
  <c r="T18" i="63"/>
  <c r="U18" i="63" s="1"/>
  <c r="N26" i="63"/>
  <c r="M26" i="63"/>
  <c r="V17" i="63"/>
  <c r="T17" i="63"/>
  <c r="U17" i="63" s="1"/>
  <c r="N25" i="63"/>
  <c r="M25" i="63"/>
  <c r="V16" i="63"/>
  <c r="T16" i="63"/>
  <c r="U16" i="63" s="1"/>
  <c r="N24" i="63"/>
  <c r="M24" i="63"/>
  <c r="V15" i="63"/>
  <c r="T15" i="63"/>
  <c r="U15" i="63" s="1"/>
  <c r="N23" i="63"/>
  <c r="M23" i="63"/>
  <c r="V14" i="63"/>
  <c r="T14" i="63"/>
  <c r="U14" i="63" s="1"/>
  <c r="N22" i="63"/>
  <c r="M22" i="63"/>
  <c r="V50" i="6"/>
  <c r="V49" i="6"/>
  <c r="T46" i="6"/>
  <c r="U46" i="6" s="1"/>
  <c r="V45" i="6"/>
  <c r="V42" i="6"/>
  <c r="V41" i="6"/>
  <c r="V37" i="6"/>
  <c r="V34" i="6"/>
  <c r="T33" i="6"/>
  <c r="U33" i="6" s="1"/>
  <c r="T29" i="6"/>
  <c r="U29" i="6" s="1"/>
  <c r="V26" i="6"/>
  <c r="V25" i="6"/>
  <c r="V22" i="6"/>
  <c r="V21" i="6"/>
  <c r="V18" i="6"/>
  <c r="V17" i="6"/>
  <c r="L46" i="6"/>
  <c r="M46" i="6" s="1"/>
  <c r="L45" i="6"/>
  <c r="M45" i="6" s="1"/>
  <c r="N42" i="6"/>
  <c r="N41" i="6"/>
  <c r="L38" i="6"/>
  <c r="M38" i="6" s="1"/>
  <c r="L37" i="6"/>
  <c r="M37" i="6" s="1"/>
  <c r="L34" i="6"/>
  <c r="M34" i="6" s="1"/>
  <c r="L33" i="6"/>
  <c r="M33" i="6" s="1"/>
  <c r="N26" i="6"/>
  <c r="L25" i="6"/>
  <c r="M25" i="6" s="1"/>
  <c r="L22" i="6"/>
  <c r="M22" i="6" s="1"/>
  <c r="L21" i="6"/>
  <c r="M21" i="6" s="1"/>
  <c r="N17" i="6"/>
  <c r="L18" i="6"/>
  <c r="M18" i="6" s="1"/>
  <c r="V16" i="6"/>
  <c r="V19" i="6"/>
  <c r="V20" i="6"/>
  <c r="V23" i="6"/>
  <c r="V24" i="6"/>
  <c r="V27" i="6"/>
  <c r="V28" i="6"/>
  <c r="V29" i="6"/>
  <c r="V30" i="6"/>
  <c r="V31" i="6"/>
  <c r="V32" i="6"/>
  <c r="V35" i="6"/>
  <c r="V36" i="6"/>
  <c r="V38" i="6"/>
  <c r="V39" i="6"/>
  <c r="V40" i="6"/>
  <c r="V43" i="6"/>
  <c r="V44" i="6"/>
  <c r="V46" i="6"/>
  <c r="V47" i="6"/>
  <c r="V48" i="6"/>
  <c r="V15" i="6"/>
  <c r="N19" i="6"/>
  <c r="N20" i="6"/>
  <c r="N23" i="6"/>
  <c r="N24" i="6"/>
  <c r="N27" i="6"/>
  <c r="N28" i="6"/>
  <c r="N29" i="6"/>
  <c r="N30" i="6"/>
  <c r="N31" i="6"/>
  <c r="N32" i="6"/>
  <c r="N35" i="6"/>
  <c r="N36" i="6"/>
  <c r="N38" i="6"/>
  <c r="N39" i="6"/>
  <c r="N40" i="6"/>
  <c r="N43" i="6"/>
  <c r="N44" i="6"/>
  <c r="N45" i="6"/>
  <c r="N46" i="6"/>
  <c r="N47" i="6"/>
  <c r="N48" i="6"/>
  <c r="N49" i="6"/>
  <c r="N50" i="6"/>
  <c r="N15" i="6"/>
  <c r="N16" i="6"/>
  <c r="T16" i="6"/>
  <c r="U16" i="6" s="1"/>
  <c r="T19" i="6"/>
  <c r="U19" i="6" s="1"/>
  <c r="T20" i="6"/>
  <c r="U20" i="6" s="1"/>
  <c r="T23" i="6"/>
  <c r="U23" i="6" s="1"/>
  <c r="T24" i="6"/>
  <c r="U24" i="6" s="1"/>
  <c r="T27" i="6"/>
  <c r="U27" i="6" s="1"/>
  <c r="T28" i="6"/>
  <c r="U28" i="6" s="1"/>
  <c r="T30" i="6"/>
  <c r="U30" i="6" s="1"/>
  <c r="T31" i="6"/>
  <c r="U31" i="6" s="1"/>
  <c r="T32" i="6"/>
  <c r="U32" i="6" s="1"/>
  <c r="T34" i="6"/>
  <c r="U34" i="6" s="1"/>
  <c r="T35" i="6"/>
  <c r="U35" i="6" s="1"/>
  <c r="T36" i="6"/>
  <c r="U36" i="6" s="1"/>
  <c r="T38" i="6"/>
  <c r="U38" i="6" s="1"/>
  <c r="T39" i="6"/>
  <c r="U39" i="6" s="1"/>
  <c r="T40" i="6"/>
  <c r="U40" i="6" s="1"/>
  <c r="T43" i="6"/>
  <c r="U43" i="6" s="1"/>
  <c r="T44" i="6"/>
  <c r="U44" i="6" s="1"/>
  <c r="T47" i="6"/>
  <c r="U47" i="6" s="1"/>
  <c r="T48" i="6"/>
  <c r="U48" i="6" s="1"/>
  <c r="T50" i="6"/>
  <c r="U50" i="6" s="1"/>
  <c r="T15" i="6"/>
  <c r="U15" i="6" s="1"/>
  <c r="L16" i="6"/>
  <c r="M16" i="6" s="1"/>
  <c r="L19" i="6"/>
  <c r="M19" i="6" s="1"/>
  <c r="L20" i="6"/>
  <c r="M20" i="6" s="1"/>
  <c r="L23" i="6"/>
  <c r="M23" i="6" s="1"/>
  <c r="L24" i="6"/>
  <c r="M24" i="6" s="1"/>
  <c r="L27" i="6"/>
  <c r="M27" i="6" s="1"/>
  <c r="L28" i="6"/>
  <c r="M28" i="6" s="1"/>
  <c r="L29" i="6"/>
  <c r="M29" i="6" s="1"/>
  <c r="L30" i="6"/>
  <c r="M30" i="6" s="1"/>
  <c r="L31" i="6"/>
  <c r="M31" i="6" s="1"/>
  <c r="L32" i="6"/>
  <c r="M32" i="6" s="1"/>
  <c r="L35" i="6"/>
  <c r="M35" i="6" s="1"/>
  <c r="L36" i="6"/>
  <c r="M36" i="6" s="1"/>
  <c r="L39" i="6"/>
  <c r="M39" i="6" s="1"/>
  <c r="L40" i="6"/>
  <c r="M40" i="6" s="1"/>
  <c r="L41" i="6"/>
  <c r="M41" i="6" s="1"/>
  <c r="L42" i="6"/>
  <c r="M42" i="6" s="1"/>
  <c r="L43" i="6"/>
  <c r="M43" i="6" s="1"/>
  <c r="L44" i="6"/>
  <c r="M44" i="6" s="1"/>
  <c r="L47" i="6"/>
  <c r="M47" i="6" s="1"/>
  <c r="L48" i="6"/>
  <c r="M48" i="6" s="1"/>
  <c r="L49" i="6"/>
  <c r="M49" i="6" s="1"/>
  <c r="L50" i="6"/>
  <c r="M50" i="6" s="1"/>
  <c r="L15" i="6"/>
  <c r="M15" i="6" s="1"/>
  <c r="R48" i="33"/>
  <c r="R49" i="33"/>
  <c r="R50" i="33"/>
  <c r="R51" i="33"/>
  <c r="R47" i="33"/>
  <c r="R29" i="33"/>
  <c r="R30" i="33"/>
  <c r="R31" i="33"/>
  <c r="R32" i="33"/>
  <c r="R33" i="33"/>
  <c r="R28" i="33"/>
  <c r="R17" i="33"/>
  <c r="R18" i="33"/>
  <c r="R19" i="33"/>
  <c r="R20" i="33"/>
  <c r="R16" i="33"/>
  <c r="AH50" i="6"/>
  <c r="AH49" i="6"/>
  <c r="AH48" i="6"/>
  <c r="AH47" i="6"/>
  <c r="AH46" i="6"/>
  <c r="AH45" i="6"/>
  <c r="AH44" i="6"/>
  <c r="AH43" i="6"/>
  <c r="AH42" i="6"/>
  <c r="AH41" i="6"/>
  <c r="AH40" i="6"/>
  <c r="AH39" i="6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4" i="6"/>
  <c r="AH23" i="6"/>
  <c r="AH22" i="6"/>
  <c r="AH21" i="6"/>
  <c r="AH20" i="6"/>
  <c r="AH19" i="6"/>
  <c r="AH18" i="6"/>
  <c r="AH17" i="6"/>
  <c r="AH16" i="6"/>
  <c r="E9" i="33" l="1"/>
  <c r="R9" i="33" s="1"/>
  <c r="R8" i="33"/>
  <c r="T26" i="6"/>
  <c r="U26" i="6" s="1"/>
  <c r="V33" i="6"/>
  <c r="L26" i="6"/>
  <c r="M26" i="6" s="1"/>
  <c r="N25" i="6"/>
  <c r="N22" i="6"/>
  <c r="T49" i="6"/>
  <c r="U49" i="6" s="1"/>
  <c r="T22" i="6"/>
  <c r="U22" i="6" s="1"/>
  <c r="T42" i="6"/>
  <c r="U42" i="6" s="1"/>
  <c r="T45" i="6"/>
  <c r="U45" i="6" s="1"/>
  <c r="T41" i="6"/>
  <c r="U41" i="6" s="1"/>
  <c r="T18" i="6"/>
  <c r="U18" i="6" s="1"/>
  <c r="T21" i="6"/>
  <c r="U21" i="6" s="1"/>
  <c r="T17" i="6"/>
  <c r="U17" i="6" s="1"/>
  <c r="T37" i="6"/>
  <c r="U37" i="6" s="1"/>
  <c r="T25" i="6"/>
  <c r="U25" i="6" s="1"/>
  <c r="N34" i="6"/>
  <c r="N33" i="6"/>
  <c r="N21" i="6"/>
  <c r="N37" i="6"/>
  <c r="N18" i="6"/>
  <c r="L17" i="6"/>
  <c r="M17" i="6" s="1"/>
  <c r="K21" i="19"/>
  <c r="M9" i="62"/>
  <c r="M13" i="62"/>
  <c r="S13" i="62"/>
  <c r="U13" i="62"/>
  <c r="M14" i="62"/>
  <c r="S14" i="62"/>
  <c r="U14" i="62"/>
  <c r="U15" i="62"/>
  <c r="M16" i="62"/>
  <c r="S16" i="62"/>
  <c r="U16" i="62"/>
  <c r="M17" i="62"/>
  <c r="S17" i="62"/>
  <c r="U17" i="62"/>
  <c r="S18" i="62"/>
  <c r="U18" i="62"/>
  <c r="M19" i="62"/>
  <c r="S19" i="62"/>
  <c r="U19" i="62"/>
  <c r="M20" i="62"/>
  <c r="S20" i="62"/>
  <c r="U20" i="62"/>
  <c r="S21" i="62"/>
  <c r="U21" i="62"/>
  <c r="M22" i="62"/>
  <c r="S22" i="62"/>
  <c r="U22" i="62"/>
  <c r="M23" i="62"/>
  <c r="S23" i="62"/>
  <c r="U23" i="62"/>
  <c r="S24" i="62"/>
  <c r="U24" i="62"/>
  <c r="M25" i="62"/>
  <c r="S25" i="62"/>
  <c r="U25" i="62"/>
  <c r="M26" i="62"/>
  <c r="S26" i="62"/>
  <c r="U26" i="62"/>
  <c r="S27" i="62"/>
  <c r="U27" i="62"/>
  <c r="Q48" i="33"/>
  <c r="Q49" i="33"/>
  <c r="Q50" i="33"/>
  <c r="Q51" i="33"/>
  <c r="Q47" i="33"/>
  <c r="S38" i="56"/>
  <c r="S34" i="56"/>
  <c r="S30" i="56"/>
  <c r="S26" i="56"/>
  <c r="S22" i="56"/>
  <c r="T36" i="61"/>
  <c r="T32" i="61"/>
  <c r="T29" i="61"/>
  <c r="T28" i="61"/>
  <c r="T25" i="61"/>
  <c r="T24" i="61"/>
  <c r="T21" i="61"/>
  <c r="N17" i="61"/>
  <c r="AB36" i="56"/>
  <c r="AA36" i="56"/>
  <c r="Z36" i="56"/>
  <c r="AB32" i="56"/>
  <c r="AA32" i="56"/>
  <c r="Z32" i="56"/>
  <c r="AB28" i="56"/>
  <c r="AA28" i="56"/>
  <c r="Z28" i="56"/>
  <c r="AB24" i="56"/>
  <c r="AA24" i="56"/>
  <c r="Z24" i="56"/>
  <c r="AA20" i="56"/>
  <c r="AD45" i="60"/>
  <c r="AD41" i="60"/>
  <c r="AD37" i="60"/>
  <c r="AD33" i="60"/>
  <c r="AD29" i="60"/>
  <c r="AD25" i="60"/>
  <c r="AC45" i="60"/>
  <c r="AC41" i="60"/>
  <c r="AC37" i="60"/>
  <c r="AC33" i="60"/>
  <c r="AC29" i="60"/>
  <c r="AC25" i="60"/>
  <c r="AB45" i="60"/>
  <c r="AB41" i="60"/>
  <c r="AB37" i="60"/>
  <c r="AB33" i="60"/>
  <c r="AB29" i="60"/>
  <c r="AB25" i="60"/>
  <c r="I46" i="60"/>
  <c r="I47" i="60" s="1"/>
  <c r="I48" i="60" s="1"/>
  <c r="AD48" i="60" s="1"/>
  <c r="I42" i="60"/>
  <c r="I43" i="60" s="1"/>
  <c r="I44" i="60" s="1"/>
  <c r="AD44" i="60" s="1"/>
  <c r="I38" i="60"/>
  <c r="I39" i="60" s="1"/>
  <c r="I40" i="60" s="1"/>
  <c r="AD40" i="60" s="1"/>
  <c r="I34" i="60"/>
  <c r="I35" i="60" s="1"/>
  <c r="I36" i="60" s="1"/>
  <c r="AD36" i="60" s="1"/>
  <c r="I30" i="60"/>
  <c r="I31" i="60" s="1"/>
  <c r="I32" i="60" s="1"/>
  <c r="AD32" i="60" s="1"/>
  <c r="I26" i="60"/>
  <c r="I27" i="60" s="1"/>
  <c r="I28" i="60" s="1"/>
  <c r="AD28" i="60" s="1"/>
  <c r="I22" i="60"/>
  <c r="I23" i="60" s="1"/>
  <c r="I24" i="60" s="1"/>
  <c r="AD24" i="60" s="1"/>
  <c r="H46" i="60"/>
  <c r="H47" i="60" s="1"/>
  <c r="AC47" i="60" s="1"/>
  <c r="H42" i="60"/>
  <c r="H43" i="60" s="1"/>
  <c r="AC43" i="60" s="1"/>
  <c r="H38" i="60"/>
  <c r="H39" i="60" s="1"/>
  <c r="AC39" i="60" s="1"/>
  <c r="H34" i="60"/>
  <c r="H35" i="60" s="1"/>
  <c r="AB35" i="60" s="1"/>
  <c r="H30" i="60"/>
  <c r="AC30" i="60" s="1"/>
  <c r="H26" i="60"/>
  <c r="AC26" i="60" s="1"/>
  <c r="H22" i="60"/>
  <c r="AB22" i="60" s="1"/>
  <c r="U18" i="60"/>
  <c r="E38" i="31"/>
  <c r="R38" i="31" s="1"/>
  <c r="E39" i="31"/>
  <c r="R39" i="31" s="1"/>
  <c r="E40" i="31"/>
  <c r="R40" i="31" s="1"/>
  <c r="E41" i="31"/>
  <c r="R41" i="31" s="1"/>
  <c r="E42" i="31"/>
  <c r="R42" i="31" s="1"/>
  <c r="E43" i="31"/>
  <c r="R43" i="31" s="1"/>
  <c r="E44" i="31"/>
  <c r="R44" i="31" s="1"/>
  <c r="E45" i="31"/>
  <c r="R45" i="31" s="1"/>
  <c r="E46" i="31"/>
  <c r="R46" i="31" s="1"/>
  <c r="E47" i="31"/>
  <c r="R47" i="31" s="1"/>
  <c r="E48" i="31"/>
  <c r="R48" i="31" s="1"/>
  <c r="E49" i="31"/>
  <c r="R49" i="31" s="1"/>
  <c r="E50" i="31"/>
  <c r="R50" i="31" s="1"/>
  <c r="E51" i="31"/>
  <c r="R51" i="31" s="1"/>
  <c r="E52" i="31"/>
  <c r="R52" i="31" s="1"/>
  <c r="E53" i="31"/>
  <c r="R53" i="31" s="1"/>
  <c r="E54" i="31"/>
  <c r="R54" i="31" s="1"/>
  <c r="E37" i="31"/>
  <c r="R37" i="31" s="1"/>
  <c r="E18" i="31"/>
  <c r="R18" i="31" s="1"/>
  <c r="E19" i="31"/>
  <c r="R19" i="31" s="1"/>
  <c r="E20" i="31"/>
  <c r="R20" i="31" s="1"/>
  <c r="E21" i="31"/>
  <c r="R21" i="31" s="1"/>
  <c r="E22" i="31"/>
  <c r="R22" i="31" s="1"/>
  <c r="E23" i="31"/>
  <c r="R23" i="31" s="1"/>
  <c r="E24" i="31"/>
  <c r="R24" i="31" s="1"/>
  <c r="E25" i="31"/>
  <c r="R25" i="31" s="1"/>
  <c r="E26" i="31"/>
  <c r="R26" i="31" s="1"/>
  <c r="E27" i="31"/>
  <c r="R27" i="31" s="1"/>
  <c r="E28" i="31"/>
  <c r="R28" i="31" s="1"/>
  <c r="E29" i="31"/>
  <c r="R29" i="31" s="1"/>
  <c r="E30" i="31"/>
  <c r="R30" i="31" s="1"/>
  <c r="E31" i="31"/>
  <c r="R31" i="31" s="1"/>
  <c r="E32" i="31"/>
  <c r="R32" i="31" s="1"/>
  <c r="E17" i="31"/>
  <c r="R17" i="31" s="1"/>
  <c r="AB29" i="58"/>
  <c r="AB28" i="58"/>
  <c r="AB27" i="58"/>
  <c r="AB26" i="58"/>
  <c r="AB25" i="58"/>
  <c r="AB24" i="58"/>
  <c r="AB23" i="58"/>
  <c r="AB22" i="58"/>
  <c r="AC58" i="58"/>
  <c r="I58" i="58"/>
  <c r="H58" i="58"/>
  <c r="F58" i="58"/>
  <c r="E58" i="58"/>
  <c r="AC57" i="58"/>
  <c r="I57" i="58"/>
  <c r="H57" i="58"/>
  <c r="F57" i="58"/>
  <c r="E57" i="58"/>
  <c r="AC56" i="58"/>
  <c r="I56" i="58"/>
  <c r="H56" i="58"/>
  <c r="F56" i="58"/>
  <c r="E56" i="58"/>
  <c r="AC55" i="58"/>
  <c r="I55" i="58"/>
  <c r="H55" i="58"/>
  <c r="F55" i="58"/>
  <c r="E55" i="58"/>
  <c r="AC54" i="58"/>
  <c r="I54" i="58"/>
  <c r="H54" i="58"/>
  <c r="F54" i="58"/>
  <c r="E54" i="58"/>
  <c r="AC53" i="58"/>
  <c r="H53" i="58"/>
  <c r="AB53" i="58" s="1"/>
  <c r="F53" i="58"/>
  <c r="E53" i="58"/>
  <c r="AC52" i="58"/>
  <c r="I52" i="58"/>
  <c r="H52" i="58"/>
  <c r="F52" i="58"/>
  <c r="E52" i="58"/>
  <c r="B52" i="58"/>
  <c r="AC51" i="58"/>
  <c r="I51" i="58"/>
  <c r="H51" i="58"/>
  <c r="F51" i="58"/>
  <c r="E51" i="58"/>
  <c r="AC44" i="58"/>
  <c r="AA44" i="58"/>
  <c r="AC43" i="58"/>
  <c r="AA43" i="58"/>
  <c r="AC42" i="58"/>
  <c r="AA42" i="58"/>
  <c r="AC41" i="58"/>
  <c r="AA41" i="58"/>
  <c r="AC40" i="58"/>
  <c r="AA40" i="58"/>
  <c r="AC39" i="58"/>
  <c r="AA39" i="58"/>
  <c r="AC38" i="58"/>
  <c r="AA38" i="58"/>
  <c r="B38" i="58"/>
  <c r="AC37" i="58"/>
  <c r="AA37" i="58"/>
  <c r="AC29" i="58"/>
  <c r="AA29" i="58"/>
  <c r="AC28" i="58"/>
  <c r="AA28" i="58"/>
  <c r="AC27" i="58"/>
  <c r="AA27" i="58"/>
  <c r="AC26" i="58"/>
  <c r="AA26" i="58"/>
  <c r="AC25" i="58"/>
  <c r="AA25" i="58"/>
  <c r="AC24" i="58"/>
  <c r="AA24" i="58"/>
  <c r="AC23" i="58"/>
  <c r="AA23" i="58"/>
  <c r="B23" i="58"/>
  <c r="AC22" i="58"/>
  <c r="AA22" i="58"/>
  <c r="G37" i="56"/>
  <c r="G38" i="56" s="1"/>
  <c r="G39" i="56" s="1"/>
  <c r="AB39" i="56" s="1"/>
  <c r="G33" i="56"/>
  <c r="G34" i="56" s="1"/>
  <c r="G35" i="56" s="1"/>
  <c r="AB35" i="56" s="1"/>
  <c r="G29" i="56"/>
  <c r="G30" i="56" s="1"/>
  <c r="G31" i="56" s="1"/>
  <c r="AB31" i="56" s="1"/>
  <c r="G25" i="56"/>
  <c r="G26" i="56" s="1"/>
  <c r="G27" i="56" s="1"/>
  <c r="AB27" i="56" s="1"/>
  <c r="G21" i="56"/>
  <c r="AB21" i="56" s="1"/>
  <c r="S37" i="56"/>
  <c r="S33" i="56"/>
  <c r="S29" i="56"/>
  <c r="S25" i="56"/>
  <c r="S21" i="56"/>
  <c r="S17" i="56"/>
  <c r="M14" i="53"/>
  <c r="M17" i="53"/>
  <c r="M18" i="53"/>
  <c r="M21" i="53"/>
  <c r="M22" i="53"/>
  <c r="M25" i="53"/>
  <c r="M26" i="53"/>
  <c r="M29" i="53"/>
  <c r="M30" i="53"/>
  <c r="M33" i="53"/>
  <c r="M34" i="53"/>
  <c r="M37" i="53"/>
  <c r="M38" i="53"/>
  <c r="M41" i="53"/>
  <c r="M42" i="53"/>
  <c r="M45" i="53"/>
  <c r="M46" i="53"/>
  <c r="F49" i="53"/>
  <c r="M49" i="53" s="1"/>
  <c r="M50" i="53"/>
  <c r="F53" i="53"/>
  <c r="M53" i="53" s="1"/>
  <c r="M54" i="53"/>
  <c r="F57" i="53"/>
  <c r="M57" i="53" s="1"/>
  <c r="M58" i="53"/>
  <c r="F61" i="53"/>
  <c r="M61" i="53" s="1"/>
  <c r="M62" i="53"/>
  <c r="K25" i="19"/>
  <c r="K27" i="19"/>
  <c r="K29" i="19"/>
  <c r="K31" i="19"/>
  <c r="K33" i="19"/>
  <c r="K35" i="19"/>
  <c r="K37" i="19"/>
  <c r="K23" i="19"/>
  <c r="B39" i="58" l="1"/>
  <c r="B40" i="58" s="1"/>
  <c r="AB52" i="58"/>
  <c r="AB57" i="58"/>
  <c r="AB55" i="58"/>
  <c r="AB54" i="58"/>
  <c r="AB58" i="58"/>
  <c r="AB51" i="58"/>
  <c r="AB56" i="58"/>
  <c r="G22" i="56"/>
  <c r="G23" i="56" s="1"/>
  <c r="AB23" i="56" s="1"/>
  <c r="Z21" i="56"/>
  <c r="AB43" i="60"/>
  <c r="AD42" i="60"/>
  <c r="AD43" i="60"/>
  <c r="AB30" i="60"/>
  <c r="AC22" i="60"/>
  <c r="AC34" i="60"/>
  <c r="AC35" i="60"/>
  <c r="AB42" i="60"/>
  <c r="AD31" i="60"/>
  <c r="AB26" i="60"/>
  <c r="AD46" i="60"/>
  <c r="AA21" i="56"/>
  <c r="AB37" i="56"/>
  <c r="AB33" i="56"/>
  <c r="Z37" i="56"/>
  <c r="AB25" i="56"/>
  <c r="AA37" i="56"/>
  <c r="AD22" i="60"/>
  <c r="AD34" i="60"/>
  <c r="AB34" i="60"/>
  <c r="AB46" i="60"/>
  <c r="AC42" i="60"/>
  <c r="AD26" i="60"/>
  <c r="AD38" i="60"/>
  <c r="AC38" i="60"/>
  <c r="AB47" i="60"/>
  <c r="AD27" i="60"/>
  <c r="AD39" i="60"/>
  <c r="AB39" i="60"/>
  <c r="AB38" i="60"/>
  <c r="AC46" i="60"/>
  <c r="AD30" i="60"/>
  <c r="AD23" i="60"/>
  <c r="AD35" i="60"/>
  <c r="AD47" i="60"/>
  <c r="AB29" i="56"/>
  <c r="Z25" i="56"/>
  <c r="Z33" i="56"/>
  <c r="AA25" i="56"/>
  <c r="AA33" i="56"/>
  <c r="Z29" i="56"/>
  <c r="AA29" i="56"/>
  <c r="AA55" i="58"/>
  <c r="Z26" i="56"/>
  <c r="Z30" i="56"/>
  <c r="Z34" i="56"/>
  <c r="Z38" i="56"/>
  <c r="AA26" i="56"/>
  <c r="AA30" i="56"/>
  <c r="AA34" i="56"/>
  <c r="AA38" i="56"/>
  <c r="AB26" i="56"/>
  <c r="AB30" i="56"/>
  <c r="AB34" i="56"/>
  <c r="AB38" i="56"/>
  <c r="Z27" i="56"/>
  <c r="Z31" i="56"/>
  <c r="Z35" i="56"/>
  <c r="Z39" i="56"/>
  <c r="AA27" i="56"/>
  <c r="AA31" i="56"/>
  <c r="AA35" i="56"/>
  <c r="AA39" i="56"/>
  <c r="T34" i="61"/>
  <c r="T38" i="61"/>
  <c r="T37" i="61"/>
  <c r="T33" i="61"/>
  <c r="H44" i="60"/>
  <c r="H48" i="60"/>
  <c r="H36" i="60"/>
  <c r="H40" i="60"/>
  <c r="H23" i="60"/>
  <c r="H31" i="60"/>
  <c r="H27" i="60"/>
  <c r="AA57" i="58"/>
  <c r="AA52" i="58"/>
  <c r="AA54" i="58"/>
  <c r="AA56" i="58"/>
  <c r="AA58" i="58"/>
  <c r="AA51" i="58"/>
  <c r="AA53" i="58"/>
  <c r="B53" i="58"/>
  <c r="B24" i="58"/>
  <c r="AD80" i="60" l="1" a="1"/>
  <c r="AD80" i="60" s="1"/>
  <c r="AD73" i="60" a="1"/>
  <c r="AD73" i="60" s="1"/>
  <c r="AD54" i="60" a="1"/>
  <c r="AD54" i="60" s="1"/>
  <c r="AD55" i="60" a="1"/>
  <c r="AD55" i="60" s="1"/>
  <c r="AD70" i="60" a="1"/>
  <c r="AD70" i="60" s="1"/>
  <c r="AD78" i="60" a="1"/>
  <c r="AD78" i="60" s="1"/>
  <c r="AD68" i="60" a="1"/>
  <c r="AD68" i="60" s="1"/>
  <c r="AD71" i="60" a="1"/>
  <c r="AD71" i="60" s="1"/>
  <c r="AD64" i="60" a="1"/>
  <c r="AD64" i="60" s="1"/>
  <c r="AD58" i="60" a="1"/>
  <c r="AD58" i="60" s="1"/>
  <c r="AD79" i="60" a="1"/>
  <c r="AD79" i="60" s="1"/>
  <c r="AD59" i="60" a="1"/>
  <c r="AD59" i="60" s="1"/>
  <c r="AD65" i="60" a="1"/>
  <c r="AD65" i="60" s="1"/>
  <c r="AD76" i="60" a="1"/>
  <c r="AD76" i="60" s="1"/>
  <c r="AD81" i="60" a="1"/>
  <c r="AD81" i="60" s="1"/>
  <c r="AD67" i="60" a="1"/>
  <c r="AD67" i="60" s="1"/>
  <c r="AD84" i="60" a="1"/>
  <c r="AD84" i="60" s="1"/>
  <c r="AD66" i="60" a="1"/>
  <c r="AD66" i="60" s="1"/>
  <c r="AD57" i="60" a="1"/>
  <c r="AD57" i="60" s="1"/>
  <c r="AD60" i="60" a="1"/>
  <c r="AD60" i="60" s="1"/>
  <c r="AD75" i="60" a="1"/>
  <c r="AD75" i="60" s="1"/>
  <c r="AD72" i="60" a="1"/>
  <c r="AD72" i="60" s="1"/>
  <c r="AD62" i="60" a="1"/>
  <c r="AD62" i="60" s="1"/>
  <c r="AD82" i="60" a="1"/>
  <c r="AD82" i="60" s="1"/>
  <c r="AD63" i="60" a="1"/>
  <c r="AD63" i="60" s="1"/>
  <c r="AD56" i="60" a="1"/>
  <c r="AD56" i="60" s="1"/>
  <c r="AD83" i="60" a="1"/>
  <c r="AD83" i="60" s="1"/>
  <c r="AD74" i="60" a="1"/>
  <c r="AD74" i="60" s="1"/>
  <c r="AA23" i="56"/>
  <c r="AA22" i="56"/>
  <c r="Z23" i="56"/>
  <c r="Z22" i="56"/>
  <c r="Z46" i="56" s="1" a="1"/>
  <c r="Z46" i="56" s="1"/>
  <c r="AB22" i="56"/>
  <c r="AB48" i="56" s="1" a="1"/>
  <c r="AB48" i="56" s="1"/>
  <c r="AC40" i="60"/>
  <c r="AB40" i="60"/>
  <c r="AC31" i="60"/>
  <c r="AB31" i="60"/>
  <c r="AB23" i="60"/>
  <c r="AC23" i="60"/>
  <c r="AB36" i="60"/>
  <c r="AC36" i="60"/>
  <c r="AC44" i="60"/>
  <c r="AB44" i="60"/>
  <c r="AC27" i="60"/>
  <c r="AB27" i="60"/>
  <c r="AB48" i="60"/>
  <c r="AC48" i="60"/>
  <c r="T30" i="61"/>
  <c r="T39" i="61"/>
  <c r="T26" i="61"/>
  <c r="T22" i="61"/>
  <c r="T35" i="61"/>
  <c r="H32" i="60"/>
  <c r="H24" i="60"/>
  <c r="H28" i="60"/>
  <c r="B41" i="58"/>
  <c r="B54" i="58"/>
  <c r="B25" i="58"/>
  <c r="Z52" i="56" l="1" a="1"/>
  <c r="Z52" i="56" s="1"/>
  <c r="Z59" i="56" a="1"/>
  <c r="Z59" i="56" s="1"/>
  <c r="Z60" i="56" a="1"/>
  <c r="Z60" i="56" s="1"/>
  <c r="Z51" i="56" a="1"/>
  <c r="Z51" i="56" s="1"/>
  <c r="Z54" i="56" a="1"/>
  <c r="Z54" i="56" s="1"/>
  <c r="Z57" i="56" a="1"/>
  <c r="Z57" i="56" s="1"/>
  <c r="Z58" i="56" a="1"/>
  <c r="Z58" i="56" s="1"/>
  <c r="AA48" i="56" a="1"/>
  <c r="AA48" i="56" s="1"/>
  <c r="Z63" i="56" a="1"/>
  <c r="Z63" i="56" s="1"/>
  <c r="AB55" i="56" a="1"/>
  <c r="AB55" i="56" s="1"/>
  <c r="AB67" i="56" a="1"/>
  <c r="AB67" i="56" s="1"/>
  <c r="AB58" i="56" a="1"/>
  <c r="AB58" i="56" s="1"/>
  <c r="Z49" i="56" a="1"/>
  <c r="Z49" i="56" s="1"/>
  <c r="AB60" i="56" a="1"/>
  <c r="AB60" i="56" s="1"/>
  <c r="AB45" i="56" a="1"/>
  <c r="AB45" i="56" s="1"/>
  <c r="AB64" i="56" a="1"/>
  <c r="AB64" i="56" s="1"/>
  <c r="Z66" i="56" a="1"/>
  <c r="Z66" i="56" s="1"/>
  <c r="AB52" i="56" a="1"/>
  <c r="AB52" i="56" s="1"/>
  <c r="Z67" i="56" a="1"/>
  <c r="Z67" i="56" s="1"/>
  <c r="AB53" i="56" a="1"/>
  <c r="AB53" i="56" s="1"/>
  <c r="Z55" i="56" a="1"/>
  <c r="Z55" i="56" s="1"/>
  <c r="AB65" i="56" a="1"/>
  <c r="AB65" i="56" s="1"/>
  <c r="AA60" i="56" a="1"/>
  <c r="AA60" i="56" s="1"/>
  <c r="AA47" i="56" a="1"/>
  <c r="AA47" i="56" s="1"/>
  <c r="AA59" i="56" a="1"/>
  <c r="AA59" i="56" s="1"/>
  <c r="AA58" i="56" a="1"/>
  <c r="AA58" i="56" s="1"/>
  <c r="AA46" i="56" a="1"/>
  <c r="AA46" i="56" s="1"/>
  <c r="AA45" i="56" a="1"/>
  <c r="AA45" i="56" s="1"/>
  <c r="AA57" i="56" a="1"/>
  <c r="AA57" i="56" s="1"/>
  <c r="AA55" i="56" a="1"/>
  <c r="AA55" i="56" s="1"/>
  <c r="AA67" i="56" a="1"/>
  <c r="AA67" i="56" s="1"/>
  <c r="AA66" i="56" a="1"/>
  <c r="AA66" i="56" s="1"/>
  <c r="AA54" i="56" a="1"/>
  <c r="AA54" i="56" s="1"/>
  <c r="AA52" i="56" a="1"/>
  <c r="AA52" i="56" s="1"/>
  <c r="AA53" i="56" a="1"/>
  <c r="AA53" i="56" s="1"/>
  <c r="AA65" i="56" a="1"/>
  <c r="AA65" i="56" s="1"/>
  <c r="AA64" i="56" a="1"/>
  <c r="AA64" i="56" s="1"/>
  <c r="AA51" i="56" a="1"/>
  <c r="AA51" i="56" s="1"/>
  <c r="AA61" i="56" a="1"/>
  <c r="AA61" i="56" s="1"/>
  <c r="AB61" i="56" a="1"/>
  <c r="AB61" i="56" s="1"/>
  <c r="Z64" i="56" a="1"/>
  <c r="Z64" i="56" s="1"/>
  <c r="Z47" i="56" a="1"/>
  <c r="Z47" i="56" s="1"/>
  <c r="AB49" i="56" a="1"/>
  <c r="AB49" i="56" s="1"/>
  <c r="Z65" i="56" a="1"/>
  <c r="Z65" i="56" s="1"/>
  <c r="AB46" i="56" a="1"/>
  <c r="AB46" i="56" s="1"/>
  <c r="AB51" i="56" a="1"/>
  <c r="AB51" i="56" s="1"/>
  <c r="AA63" i="56" a="1"/>
  <c r="AA63" i="56" s="1"/>
  <c r="Z53" i="56" a="1"/>
  <c r="Z53" i="56" s="1"/>
  <c r="AB66" i="56" a="1"/>
  <c r="AB66" i="56" s="1"/>
  <c r="AB63" i="56" a="1"/>
  <c r="AB63" i="56" s="1"/>
  <c r="AB59" i="56" a="1"/>
  <c r="AB59" i="56" s="1"/>
  <c r="AB57" i="56" a="1"/>
  <c r="AB57" i="56" s="1"/>
  <c r="Z48" i="56" a="1"/>
  <c r="Z48" i="56" s="1"/>
  <c r="Z45" i="56" a="1"/>
  <c r="Z45" i="56" s="1"/>
  <c r="AB47" i="56" a="1"/>
  <c r="AB47" i="56" s="1"/>
  <c r="AB54" i="56" a="1"/>
  <c r="AB54" i="56" s="1"/>
  <c r="Z61" i="56" a="1"/>
  <c r="Z61" i="56" s="1"/>
  <c r="AA49" i="56" a="1"/>
  <c r="AA49" i="56" s="1"/>
  <c r="AC32" i="60"/>
  <c r="AB32" i="60"/>
  <c r="AB28" i="60"/>
  <c r="AC28" i="60"/>
  <c r="AB24" i="60"/>
  <c r="AC24" i="60"/>
  <c r="T23" i="61"/>
  <c r="T31" i="61"/>
  <c r="T27" i="61"/>
  <c r="B42" i="58"/>
  <c r="B26" i="58"/>
  <c r="B55" i="58"/>
  <c r="T50" i="61" l="1" a="1"/>
  <c r="T50" i="61" s="1"/>
  <c r="T58" i="61" a="1"/>
  <c r="T58" i="61" s="1"/>
  <c r="T67" i="61" a="1"/>
  <c r="T67" i="61" s="1"/>
  <c r="T54" i="61" a="1"/>
  <c r="T54" i="61" s="1"/>
  <c r="T48" i="61" a="1"/>
  <c r="T48" i="61" s="1"/>
  <c r="T60" i="61" a="1"/>
  <c r="T60" i="61" s="1"/>
  <c r="T55" i="61" a="1"/>
  <c r="T55" i="61" s="1"/>
  <c r="T62" i="61" a="1"/>
  <c r="T62" i="61" s="1"/>
  <c r="T69" i="61" a="1"/>
  <c r="T69" i="61" s="1"/>
  <c r="T56" i="61" a="1"/>
  <c r="T56" i="61" s="1"/>
  <c r="T51" i="61" a="1"/>
  <c r="T51" i="61" s="1"/>
  <c r="T70" i="61" a="1"/>
  <c r="T70" i="61" s="1"/>
  <c r="T49" i="61" a="1"/>
  <c r="T49" i="61" s="1"/>
  <c r="T66" i="61" a="1"/>
  <c r="T66" i="61" s="1"/>
  <c r="T64" i="61" a="1"/>
  <c r="T64" i="61" s="1"/>
  <c r="T63" i="61" a="1"/>
  <c r="T63" i="61" s="1"/>
  <c r="T68" i="61" a="1"/>
  <c r="T68" i="61" s="1"/>
  <c r="T52" i="61" a="1"/>
  <c r="T52" i="61" s="1"/>
  <c r="T61" i="61" a="1"/>
  <c r="T61" i="61" s="1"/>
  <c r="T57" i="61" a="1"/>
  <c r="T57" i="61" s="1"/>
  <c r="AB67" i="60" a="1"/>
  <c r="AB67" i="60" s="1"/>
  <c r="AC58" i="60" a="1"/>
  <c r="AC58" i="60" s="1"/>
  <c r="AB57" i="60" a="1"/>
  <c r="AB57" i="60" s="1"/>
  <c r="AB62" i="60" a="1"/>
  <c r="AB62" i="60" s="1"/>
  <c r="AB74" i="60" a="1"/>
  <c r="AB74" i="60" s="1"/>
  <c r="AB66" i="60" a="1"/>
  <c r="AB66" i="60" s="1"/>
  <c r="AB75" i="60" a="1"/>
  <c r="AB75" i="60" s="1"/>
  <c r="AB79" i="60" a="1"/>
  <c r="AB79" i="60" s="1"/>
  <c r="AB78" i="60" a="1"/>
  <c r="AB78" i="60" s="1"/>
  <c r="AB68" i="60" a="1"/>
  <c r="AB68" i="60" s="1"/>
  <c r="AC55" i="60" a="1"/>
  <c r="AC55" i="60" s="1"/>
  <c r="AB56" i="60" a="1"/>
  <c r="AB56" i="60" s="1"/>
  <c r="AB55" i="60" a="1"/>
  <c r="AB55" i="60" s="1"/>
  <c r="AB65" i="60" a="1"/>
  <c r="AB65" i="60" s="1"/>
  <c r="AC79" i="60" a="1"/>
  <c r="AC79" i="60" s="1"/>
  <c r="AB82" i="60" a="1"/>
  <c r="AB82" i="60" s="1"/>
  <c r="AB83" i="60" a="1"/>
  <c r="AB83" i="60" s="1"/>
  <c r="AB58" i="60" a="1"/>
  <c r="AB58" i="60" s="1"/>
  <c r="AB70" i="60" a="1"/>
  <c r="AB70" i="60" s="1"/>
  <c r="AB59" i="60" a="1"/>
  <c r="AB59" i="60" s="1"/>
  <c r="AB64" i="60" a="1"/>
  <c r="AB64" i="60" s="1"/>
  <c r="AB60" i="60" a="1"/>
  <c r="AB60" i="60" s="1"/>
  <c r="AC54" i="60" a="1"/>
  <c r="AC54" i="60" s="1"/>
  <c r="AB76" i="60" a="1"/>
  <c r="AB76" i="60" s="1"/>
  <c r="AB63" i="60" a="1"/>
  <c r="AB63" i="60" s="1"/>
  <c r="AB80" i="60" a="1"/>
  <c r="AB80" i="60" s="1"/>
  <c r="AC84" i="60" a="1"/>
  <c r="AC84" i="60" s="1"/>
  <c r="AC76" i="60" a="1"/>
  <c r="AC76" i="60" s="1"/>
  <c r="AC81" i="60" a="1"/>
  <c r="AC81" i="60" s="1"/>
  <c r="AC82" i="60" a="1"/>
  <c r="AC82" i="60" s="1"/>
  <c r="AC74" i="60" a="1"/>
  <c r="AC74" i="60" s="1"/>
  <c r="AC68" i="60" a="1"/>
  <c r="AC68" i="60" s="1"/>
  <c r="AC67" i="60" a="1"/>
  <c r="AC67" i="60" s="1"/>
  <c r="AC57" i="60" a="1"/>
  <c r="AC57" i="60" s="1"/>
  <c r="AC56" i="60" a="1"/>
  <c r="AC56" i="60" s="1"/>
  <c r="AC73" i="60" a="1"/>
  <c r="AC73" i="60" s="1"/>
  <c r="AC80" i="60" a="1"/>
  <c r="AC80" i="60" s="1"/>
  <c r="AC70" i="60" a="1"/>
  <c r="AC70" i="60" s="1"/>
  <c r="AC60" i="60" a="1"/>
  <c r="AC60" i="60" s="1"/>
  <c r="AC63" i="60" a="1"/>
  <c r="AC63" i="60" s="1"/>
  <c r="AC62" i="60" a="1"/>
  <c r="AC62" i="60" s="1"/>
  <c r="AC83" i="60" a="1"/>
  <c r="AC83" i="60" s="1"/>
  <c r="AC78" i="60" a="1"/>
  <c r="AC78" i="60" s="1"/>
  <c r="AC64" i="60" a="1"/>
  <c r="AC64" i="60" s="1"/>
  <c r="AB54" i="60" a="1"/>
  <c r="AB54" i="60" s="1"/>
  <c r="AB81" i="60" a="1"/>
  <c r="AB81" i="60" s="1"/>
  <c r="AC66" i="60" a="1"/>
  <c r="AC66" i="60" s="1"/>
  <c r="AB71" i="60" a="1"/>
  <c r="AB71" i="60" s="1"/>
  <c r="AC71" i="60" a="1"/>
  <c r="AC71" i="60" s="1"/>
  <c r="AC59" i="60" a="1"/>
  <c r="AC59" i="60" s="1"/>
  <c r="AB73" i="60" a="1"/>
  <c r="AB73" i="60" s="1"/>
  <c r="AC65" i="60" a="1"/>
  <c r="AC65" i="60" s="1"/>
  <c r="AB84" i="60" a="1"/>
  <c r="AB84" i="60" s="1"/>
  <c r="AC72" i="60" a="1"/>
  <c r="AC72" i="60" s="1"/>
  <c r="AB72" i="60" a="1"/>
  <c r="AB72" i="60" s="1"/>
  <c r="AC75" i="60" a="1"/>
  <c r="AC75" i="60" s="1"/>
  <c r="B43" i="58"/>
  <c r="B27" i="58"/>
  <c r="B56" i="58"/>
  <c r="B44" i="58" l="1"/>
  <c r="B57" i="58"/>
  <c r="B28" i="58"/>
  <c r="B29" i="58" l="1"/>
  <c r="B58" i="58"/>
  <c r="O12" i="7" l="1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M19" i="11" l="1"/>
  <c r="M16" i="11"/>
  <c r="M17" i="11"/>
  <c r="M18" i="11"/>
  <c r="AA16" i="6" l="1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15" i="6"/>
  <c r="Q29" i="33"/>
  <c r="Q30" i="33"/>
  <c r="Q31" i="33"/>
  <c r="Q32" i="33"/>
  <c r="Q33" i="33"/>
  <c r="Q28" i="33"/>
  <c r="Q17" i="33"/>
  <c r="Q18" i="33"/>
  <c r="Q19" i="33"/>
  <c r="Q20" i="33"/>
  <c r="Q16" i="33"/>
  <c r="M23" i="11" l="1"/>
  <c r="M22" i="11"/>
  <c r="M21" i="11"/>
  <c r="M20" i="11"/>
  <c r="M13" i="11"/>
  <c r="M12" i="11"/>
  <c r="M15" i="11"/>
  <c r="M14" i="11"/>
  <c r="Q60" i="75"/>
  <c r="Q54" i="75"/>
  <c r="Q55" i="75"/>
  <c r="Q56" i="75"/>
  <c r="Q58" i="75"/>
  <c r="Q57" i="75"/>
  <c r="Q59" i="7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tc={C89FBC62-8387-4D04-BFCC-492F49DFB489}</author>
    <author>tc={9FB1F3BC-5815-4736-9BE4-0CB87933CFF2}</author>
    <author>tc={5B325670-79AA-45BE-803F-79EA8B113E90}</author>
    <author>tc={C604B7DD-9E3F-4BB0-B58A-5C4215566F04}</author>
    <author>tc={DF9FFD9A-5018-4747-ADCD-6FFFF506BFD3}</author>
    <author>tc={FE1EFA9A-7E18-4EDB-AD1B-9A816D524BDF}</author>
  </authors>
  <commentList>
    <comment ref="E12" authorId="0" shapeId="0" xr:uid="{C89FBC62-8387-4D04-BFCC-492F49DFB489}">
      <text>
        <t>[Threaded comment]
Your version of Excel allows you to read this threaded comment; however, any edits to it will get removed if the file is opened in a newer version of Excel. Learn more: https://go.microsoft.com/fwlink/?linkid=870924
Comment:
    CL. Z: ranges should begin with .001” (whole-thou) size and end with .0005” (half-thou) size
CL. X: ranges should begin with .001” (whole-thou) size and end with .0009”</t>
      </text>
    </comment>
    <comment ref="C18" authorId="1" shapeId="0" xr:uid="{9FB1F3BC-5815-4736-9BE4-0CB87933CFF2}">
      <text>
        <t>[Threaded comment]
Your version of Excel allows you to read this threaded comment; however, any edits to it will get removed if the file is opened in a newer version of Excel. Learn more: https://go.microsoft.com/fwlink/?linkid=870924
Comment:
    Blades are used down to .030”</t>
      </text>
    </comment>
    <comment ref="C19" authorId="2" shapeId="0" xr:uid="{5B325670-79AA-45BE-803F-79EA8B113E90}">
      <text>
        <t>[Threaded comment]
Your version of Excel allows you to read this threaded comment; however, any edits to it will get removed if the file is opened in a newer version of Excel. Learn more: https://go.microsoft.com/fwlink/?linkid=870924
Comment:
    Sizes &lt;=.075” are fed by hand, one at a time</t>
      </text>
    </comment>
    <comment ref="F26" authorId="3" shapeId="0" xr:uid="{C604B7DD-9E3F-4BB0-B58A-5C4215566F04}">
      <text>
        <t>[Threaded comment]
Your version of Excel allows you to read this threaded comment; however, any edits to it will get removed if the file is opened in a newer version of Excel. Learn more: https://go.microsoft.com/fwlink/?linkid=870924
Comment:
    M81MM goes up to 25.41</t>
      </text>
    </comment>
    <comment ref="F43" authorId="4" shapeId="0" xr:uid="{DF9FFD9A-5018-4747-ADCD-6FFFF506BFD3}">
      <text>
        <t>[Threaded comment]
Your version of Excel allows you to read this threaded comment; however, any edits to it will get removed if the file is opened in a newer version of Excel. Learn more: https://go.microsoft.com/fwlink/?linkid=870924
Comment:
    M81MM goes up to 25.41</t>
      </text>
    </comment>
    <comment ref="F60" authorId="5" shapeId="0" xr:uid="{FE1EFA9A-7E18-4EDB-AD1B-9A816D524BDF}">
      <text>
        <t>[Threaded comment]
Your version of Excel allows you to read this threaded comment; however, any edits to it will get removed if the file is opened in a newer version of Excel. Learn more: https://go.microsoft.com/fwlink/?linkid=870924
Comment:
    M81MM goes up to 25.41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tc={C40802C1-615A-4D0B-B457-C6A2C49D95D9}</author>
  </authors>
  <commentList>
    <comment ref="X14" authorId="0" shapeId="0" xr:uid="{C40802C1-615A-4D0B-B457-C6A2C49D95D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 4, selected by BG and BB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tc={EEF15A24-8EC0-47D5-A8EE-B612460DF046}</author>
    <author>tc={6C460996-CABF-4B89-89E0-C812C0E46E3F}</author>
    <author>tc={3695168B-1B5C-4684-B3D0-6185E45ED082}</author>
  </authors>
  <commentList>
    <comment ref="E15" authorId="0" shapeId="0" xr:uid="{EEF15A24-8EC0-47D5-A8EE-B612460DF046}">
      <text>
        <t>[Threaded comment]
Your version of Excel allows you to read this threaded comment; however, any edits to it will get removed if the file is opened in a newer version of Excel. Learn more: https://go.microsoft.com/fwlink/?linkid=870924
Comment:
    CL. Z: ranges should begin with .001” (whole-thou) size and end with .0005” (half-thou) size
CL. X: ranges should begin with .001” (whole-thou) size and end with .0009”</t>
      </text>
    </comment>
    <comment ref="V21" authorId="1" shapeId="0" xr:uid="{6C460996-CABF-4B89-89E0-C812C0E46E3F}">
      <text>
        <t>[Threaded comment]
Your version of Excel allows you to read this threaded comment; however, any edits to it will get removed if the file is opened in a newer version of Excel. Learn more: https://go.microsoft.com/fwlink/?linkid=870924
Comment:
    Effective for McMaster 3/17 (35% discount)</t>
      </text>
    </comment>
    <comment ref="I29" authorId="2" shapeId="0" xr:uid="{3695168B-1B5C-4684-B3D0-6185E45ED082}">
      <text>
        <t>[Threaded comment]
Your version of Excel allows you to read this threaded comment; however, any edits to it will get removed if the file is opened in a newer version of Excel. Learn more: https://go.microsoft.com/fwlink/?linkid=870924
Comment:
    M81MM goes up to 25.41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tc={08F0C6AD-F2A5-4D52-B380-CD77345350E6}</author>
  </authors>
  <commentList>
    <comment ref="E13" authorId="0" shapeId="0" xr:uid="{08F0C6AD-F2A5-4D52-B380-CD77345350E6}">
      <text>
        <t>[Threaded comment]
Your version of Excel allows you to read this threaded comment; however, any edits to it will get removed if the file is opened in a newer version of Excel. Learn more: https://go.microsoft.com/fwlink/?linkid=870924
Comment:
    CL. Z: ranges should begin with .001” (whole-thou) size and end with .0005” (half-thou) size
CL. X: ranges should begin with .001” (whole-thou) size and end with .0009”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tc={46B0886D-82E3-4EB4-8530-66B44534ECCB}</author>
  </authors>
  <commentList>
    <comment ref="E9" authorId="0" shapeId="0" xr:uid="{46B0886D-82E3-4EB4-8530-66B44534ECCB}">
      <text>
        <t>[Threaded comment]
Your version of Excel allows you to read this threaded comment; however, any edits to it will get removed if the file is opened in a newer version of Excel. Learn more: https://go.microsoft.com/fwlink/?linkid=870924
Comment:
    CL. Z: ranges should begin with .001” (whole-thou) size and end with .0005” (half-thou) size
CL. X: ranges should begin with .001” (whole-thou) size and end with .0009”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tc={95DB542E-978C-4E09-89E0-76AE692356DB}</author>
    <author>tc={33FC1465-0517-4ABA-8CB2-691FCABFF9F8}</author>
    <author>tc={C7CAD648-ADDF-4603-9292-06F13F8220C0}</author>
    <author>tc={455DC78F-AB12-4C00-8A08-3709AF4A36AF}</author>
    <author>tc={4BF3A917-1429-443D-B8B9-A76C7BA6E076}</author>
  </authors>
  <commentList>
    <comment ref="AB5" authorId="0" shapeId="0" xr:uid="{95DB542E-978C-4E09-89E0-76AE692356DB}">
      <text>
        <t>[Threaded comment]
Your version of Excel allows you to read this threaded comment; however, any edits to it will get removed if the file is opened in a newer version of Excel. Learn more: https://go.microsoft.com/fwlink/?linkid=870924
Comment:
    VG distributor discount</t>
      </text>
    </comment>
    <comment ref="AB6" authorId="1" shapeId="0" xr:uid="{33FC1465-0517-4ABA-8CB2-691FCABFF9F8}">
      <text>
        <t>[Threaded comment]
Your version of Excel allows you to read this threaded comment; however, any edits to it will get removed if the file is opened in a newer version of Excel. Learn more: https://go.microsoft.com/fwlink/?linkid=870924
Comment:
    MG distributor discount</t>
      </text>
    </comment>
    <comment ref="AB7" authorId="2" shapeId="0" xr:uid="{C7CAD648-ADDF-4603-9292-06F13F8220C0}">
      <text>
        <t>[Threaded comment]
Your version of Excel allows you to read this threaded comment; however, any edits to it will get removed if the file is opened in a newer version of Excel. Learn more: https://go.microsoft.com/fwlink/?linkid=870924
Comment:
    Chrome premium to steel (to differentiate pricing structure from VG)</t>
      </text>
    </comment>
    <comment ref="W12" authorId="3" shapeId="0" xr:uid="{455DC78F-AB12-4C00-8A08-3709AF4A36A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Vermont Prices .0600” to .0700”
</t>
      </text>
    </comment>
    <comment ref="Y40" authorId="4" shapeId="0" xr:uid="{4BF3A917-1429-443D-B8B9-A76C7BA6E076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of two Vermont size ranges:
1) 1.1351” - 1.3350”
2) 1.3351” to 1.5100”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tc={569677E0-81D7-4B54-B93B-2E09BF0A05D3}</author>
  </authors>
  <commentList>
    <comment ref="J9" authorId="0" shapeId="0" xr:uid="{569677E0-81D7-4B54-B93B-2E09BF0A05D3}">
      <text>
        <t>[Threaded comment]
Your version of Excel allows you to read this threaded comment; however, any edits to it will get removed if the file is opened in a newer version of Excel. Learn more: https://go.microsoft.com/fwlink/?linkid=870924
Comment:
    Discount to DE price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tc={4358BE31-2B51-426F-A674-816B8CE706C3}</author>
    <author>tc={ADFCA93B-05FA-41B1-96B5-118DE37F38E2}</author>
    <author>tc={FB6F0EB6-8584-4BC8-AB27-E47842827B9A}</author>
    <author>tc={DA02847A-4A9A-4A0A-A446-8D0CDC53CE6C}</author>
    <author>tc={809B0588-4406-473F-B25D-5EAFBF65ED8B}</author>
  </authors>
  <commentList>
    <comment ref="K8" authorId="0" shapeId="0" xr:uid="{4358BE31-2B51-426F-A674-816B8CE706C3}">
      <text>
        <t>[Threaded comment]
Your version of Excel allows you to read this threaded comment; however, any edits to it will get removed if the file is opened in a newer version of Excel. Learn more: https://go.microsoft.com/fwlink/?linkid=870924
Comment:
    CL. Z: ranges should begin with .001” (whole-thou) size and end with .0005” (half-thou) size
CL. X: ranges should begin with .001” (whole-thou) size and end with .0009”</t>
      </text>
    </comment>
    <comment ref="AK9" authorId="1" shapeId="0" xr:uid="{ADFCA93B-05FA-41B1-96B5-118DE37F38E2}">
      <text>
        <t>[Threaded comment]
Your version of Excel allows you to read this threaded comment; however, any edits to it will get removed if the file is opened in a newer version of Excel. Learn more: https://go.microsoft.com/fwlink/?linkid=870924
Comment:
    Assy premium (labor, packaging, etc.)</t>
      </text>
    </comment>
    <comment ref="AP9" authorId="2" shapeId="0" xr:uid="{FB6F0EB6-8584-4BC8-AB27-E47842827B9A}">
      <text>
        <t>[Threaded comment]
Your version of Excel allows you to read this threaded comment; however, any edits to it will get removed if the file is opened in a newer version of Excel. Learn more: https://go.microsoft.com/fwlink/?linkid=870924
Comment:
    Assy premium (labor, packaging, etc.)</t>
      </text>
    </comment>
    <comment ref="S14" authorId="3" shapeId="0" xr:uid="{DA02847A-4A9A-4A0A-A446-8D0CDC53CE6C}">
      <text>
        <t>[Threaded comment]
Your version of Excel allows you to read this threaded comment; however, any edits to it will get removed if the file is opened in a newer version of Excel. Learn more: https://go.microsoft.com/fwlink/?linkid=870924
Comment:
    Effective for McMaster 3/17 (35% discount)</t>
      </text>
    </comment>
    <comment ref="F21" authorId="4" shapeId="0" xr:uid="{809B0588-4406-473F-B25D-5EAFBF65ED8B}">
      <text>
        <t>[Threaded comment]
Your version of Excel allows you to read this threaded comment; however, any edits to it will get removed if the file is opened in a newer version of Excel. Learn more: https://go.microsoft.com/fwlink/?linkid=870924
Comment:
    Max. black ox pin size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<sst xmlns="http://schemas.openxmlformats.org/spreadsheetml/2006/main" count="3589" uniqueCount="1418">
  <si>
    <t>Calibration Services</t>
  </si>
  <si>
    <t>inch = 4 decimal places</t>
  </si>
  <si>
    <t>mm = 2 decimal places</t>
  </si>
  <si>
    <t>Size Range</t>
  </si>
  <si>
    <t>Inch</t>
  </si>
  <si>
    <t>Metric</t>
  </si>
  <si>
    <t>inch</t>
  </si>
  <si>
    <t>metric</t>
  </si>
  <si>
    <t>Class Z Pin Gage Sets</t>
  </si>
  <si>
    <t>Item ID</t>
  </si>
  <si>
    <t>Tolerance Direction</t>
  </si>
  <si>
    <t>No. of Gages</t>
  </si>
  <si>
    <t>Weight (lbs.)</t>
  </si>
  <si>
    <t>M0P</t>
  </si>
  <si>
    <t>Plus</t>
  </si>
  <si>
    <t>M0MMP</t>
  </si>
  <si>
    <t>M0M</t>
  </si>
  <si>
    <t>Minus</t>
  </si>
  <si>
    <t>M0MMM</t>
  </si>
  <si>
    <t>M05P</t>
  </si>
  <si>
    <t>M01MMP</t>
  </si>
  <si>
    <t>M05M</t>
  </si>
  <si>
    <t>M01MMM</t>
  </si>
  <si>
    <t>C10P</t>
  </si>
  <si>
    <t>M1MMP</t>
  </si>
  <si>
    <t>C10M</t>
  </si>
  <si>
    <t>M1MMM</t>
  </si>
  <si>
    <t>C105P</t>
  </si>
  <si>
    <t>M11MMP</t>
  </si>
  <si>
    <t>C105M</t>
  </si>
  <si>
    <t>M11MMM</t>
  </si>
  <si>
    <t>M1P</t>
  </si>
  <si>
    <t>M2MMP</t>
  </si>
  <si>
    <t>M1M</t>
  </si>
  <si>
    <t>M2MMM</t>
  </si>
  <si>
    <t>M15P</t>
  </si>
  <si>
    <t>M21MMP</t>
  </si>
  <si>
    <t>M15M</t>
  </si>
  <si>
    <t>M21MMM</t>
  </si>
  <si>
    <t>M2P</t>
  </si>
  <si>
    <t>M3MMP</t>
  </si>
  <si>
    <t>M2M</t>
  </si>
  <si>
    <t>M3MMM</t>
  </si>
  <si>
    <t>M25P</t>
  </si>
  <si>
    <t>M31MMP</t>
  </si>
  <si>
    <t>M25M</t>
  </si>
  <si>
    <t>M31MMM</t>
  </si>
  <si>
    <t>M3P</t>
  </si>
  <si>
    <t>M4MMP</t>
  </si>
  <si>
    <t>M3M</t>
  </si>
  <si>
    <t>M4MMM</t>
  </si>
  <si>
    <t>M35P</t>
  </si>
  <si>
    <t>M41MMP</t>
  </si>
  <si>
    <t>M35M</t>
  </si>
  <si>
    <t>M41MMM</t>
  </si>
  <si>
    <t>M4P</t>
  </si>
  <si>
    <t>M5MMP</t>
  </si>
  <si>
    <t>M4M</t>
  </si>
  <si>
    <t>M5MMM</t>
  </si>
  <si>
    <t>M45P</t>
  </si>
  <si>
    <t>M51MMP</t>
  </si>
  <si>
    <t>M45M</t>
  </si>
  <si>
    <t>M51MMM</t>
  </si>
  <si>
    <t>M5P</t>
  </si>
  <si>
    <t>M6MMP</t>
  </si>
  <si>
    <t>M5M</t>
  </si>
  <si>
    <t>M6MMM</t>
  </si>
  <si>
    <t>M55P</t>
  </si>
  <si>
    <t>M61MMP</t>
  </si>
  <si>
    <t>M55M</t>
  </si>
  <si>
    <t>M61MMM</t>
  </si>
  <si>
    <t>M6P</t>
  </si>
  <si>
    <t>M7MMP</t>
  </si>
  <si>
    <t>M6M</t>
  </si>
  <si>
    <t>M7MMM</t>
  </si>
  <si>
    <t>M65P</t>
  </si>
  <si>
    <t>M71MMP</t>
  </si>
  <si>
    <t>M65M</t>
  </si>
  <si>
    <t>M71MMM</t>
  </si>
  <si>
    <t>M7P</t>
  </si>
  <si>
    <t>M8MMP</t>
  </si>
  <si>
    <t>M7M</t>
  </si>
  <si>
    <t>M8MMM</t>
  </si>
  <si>
    <t>M75P</t>
  </si>
  <si>
    <t>M81MMP</t>
  </si>
  <si>
    <t>M75M</t>
  </si>
  <si>
    <t>M81MMM</t>
  </si>
  <si>
    <t>Class X Pin Gage Sets</t>
  </si>
  <si>
    <t>M0XP</t>
  </si>
  <si>
    <t>M0XM</t>
  </si>
  <si>
    <t>M05XP</t>
  </si>
  <si>
    <t>M05XM</t>
  </si>
  <si>
    <t>M1XP</t>
  </si>
  <si>
    <t>M1XM</t>
  </si>
  <si>
    <t>M15XP</t>
  </si>
  <si>
    <t>M15XM</t>
  </si>
  <si>
    <t>C10XP</t>
  </si>
  <si>
    <t>C10XM</t>
  </si>
  <si>
    <t>C105XP</t>
  </si>
  <si>
    <t>C105XM</t>
  </si>
  <si>
    <t>M2XP</t>
  </si>
  <si>
    <t>M2XM</t>
  </si>
  <si>
    <t>M25XP</t>
  </si>
  <si>
    <t>M25XM</t>
  </si>
  <si>
    <t>M3XP</t>
  </si>
  <si>
    <t>M3XM</t>
  </si>
  <si>
    <t>M35XP</t>
  </si>
  <si>
    <t>M35XM</t>
  </si>
  <si>
    <t>M4XP</t>
  </si>
  <si>
    <t>M4XM</t>
  </si>
  <si>
    <t>M45XP</t>
  </si>
  <si>
    <t>M45XM</t>
  </si>
  <si>
    <t>M5XP</t>
  </si>
  <si>
    <t>M5XM</t>
  </si>
  <si>
    <t>M55XP</t>
  </si>
  <si>
    <t>M55XM</t>
  </si>
  <si>
    <t>M6XP</t>
  </si>
  <si>
    <t>M6XM</t>
  </si>
  <si>
    <t>M65XP</t>
  </si>
  <si>
    <t>M65XM</t>
  </si>
  <si>
    <t>M7XP</t>
  </si>
  <si>
    <t>M7XM</t>
  </si>
  <si>
    <t>M75XP</t>
  </si>
  <si>
    <t>M75XM</t>
  </si>
  <si>
    <t>Nominal Size Range</t>
  </si>
  <si>
    <t>Medium tray used for .375"+ nominal</t>
  </si>
  <si>
    <t>nominal of .750" is ok</t>
  </si>
  <si>
    <t>pins will touch/lid won't go on for pins in the .900's</t>
  </si>
  <si>
    <t>for larger pins, practice is to send tray along with pins in vials</t>
  </si>
  <si>
    <t>Class Z Libraries</t>
  </si>
  <si>
    <t>Half-Thou libs -&gt; 10%+ more than Even-Thou libs (Inch)</t>
  </si>
  <si>
    <t>Odd-MM libs -&gt; 10%+ more than Even-MM libs</t>
  </si>
  <si>
    <t>L1P</t>
  </si>
  <si>
    <t>L10MMP</t>
  </si>
  <si>
    <t>L1M</t>
  </si>
  <si>
    <t>L10MMM</t>
  </si>
  <si>
    <t>L15P</t>
  </si>
  <si>
    <t>L11MMP</t>
  </si>
  <si>
    <t>L15M</t>
  </si>
  <si>
    <t>L11MMM</t>
  </si>
  <si>
    <t>L2P</t>
  </si>
  <si>
    <t>L20MMP</t>
  </si>
  <si>
    <t>L2M</t>
  </si>
  <si>
    <t>L20MMM</t>
  </si>
  <si>
    <t>L2CP</t>
  </si>
  <si>
    <t>L21MMP</t>
  </si>
  <si>
    <t>L2CM</t>
  </si>
  <si>
    <t>L21MMM</t>
  </si>
  <si>
    <t>L3P</t>
  </si>
  <si>
    <t>L30MMP</t>
  </si>
  <si>
    <t>L3M</t>
  </si>
  <si>
    <t>L30MMM</t>
  </si>
  <si>
    <t>L35P</t>
  </si>
  <si>
    <t>L31MMP</t>
  </si>
  <si>
    <t>L35M</t>
  </si>
  <si>
    <t>L31MMM</t>
  </si>
  <si>
    <t>L4P</t>
  </si>
  <si>
    <t>L4M</t>
  </si>
  <si>
    <t>L45P</t>
  </si>
  <si>
    <t>L45M</t>
  </si>
  <si>
    <t>L5P</t>
  </si>
  <si>
    <t>L5M</t>
  </si>
  <si>
    <t>L55P</t>
  </si>
  <si>
    <t>L55M</t>
  </si>
  <si>
    <t>LCP</t>
  </si>
  <si>
    <t>LCM</t>
  </si>
  <si>
    <t>LC5P</t>
  </si>
  <si>
    <t>LC5M</t>
  </si>
  <si>
    <t>LSP</t>
  </si>
  <si>
    <t>LSM</t>
  </si>
  <si>
    <t>LS5P</t>
  </si>
  <si>
    <t>LS5M</t>
  </si>
  <si>
    <t>L1XP</t>
  </si>
  <si>
    <t>L1XM</t>
  </si>
  <si>
    <t>LCXP</t>
  </si>
  <si>
    <t>LCXM</t>
  </si>
  <si>
    <t>L2XP</t>
  </si>
  <si>
    <t>L2XM</t>
  </si>
  <si>
    <t>L2CXP</t>
  </si>
  <si>
    <t>L2CXM</t>
  </si>
  <si>
    <t>L3XP</t>
  </si>
  <si>
    <t>L3XM</t>
  </si>
  <si>
    <t>L4XP</t>
  </si>
  <si>
    <t>L4XM</t>
  </si>
  <si>
    <t>Class X Libraries</t>
  </si>
  <si>
    <t>Single-End</t>
  </si>
  <si>
    <t>Description</t>
  </si>
  <si>
    <t>1WSE</t>
  </si>
  <si>
    <t>GO</t>
  </si>
  <si>
    <t>2WSE</t>
  </si>
  <si>
    <t>3WSE</t>
  </si>
  <si>
    <t>4WSE</t>
  </si>
  <si>
    <t>5WSE</t>
  </si>
  <si>
    <t>6WSE</t>
  </si>
  <si>
    <t>7WSE</t>
  </si>
  <si>
    <t>8WSE</t>
  </si>
  <si>
    <t>Z</t>
  </si>
  <si>
    <t>X</t>
  </si>
  <si>
    <t>XX</t>
  </si>
  <si>
    <t>Double-End</t>
  </si>
  <si>
    <t>1WDE</t>
  </si>
  <si>
    <t>2WDE</t>
  </si>
  <si>
    <t>3WDE</t>
  </si>
  <si>
    <t>4WDE</t>
  </si>
  <si>
    <t>5WDE</t>
  </si>
  <si>
    <t>6WDE</t>
  </si>
  <si>
    <t>7WDE</t>
  </si>
  <si>
    <t>8WDE</t>
  </si>
  <si>
    <t>Trilock</t>
  </si>
  <si>
    <t>Y</t>
  </si>
  <si>
    <t>Taperlock</t>
  </si>
  <si>
    <t>Custom-Length Pin Gages</t>
  </si>
  <si>
    <t>Class ZZ</t>
  </si>
  <si>
    <t>Class X</t>
  </si>
  <si>
    <t>Ring Gages</t>
  </si>
  <si>
    <t>NOGO</t>
  </si>
  <si>
    <t>5/16"</t>
  </si>
  <si>
    <t>Trilocks</t>
  </si>
  <si>
    <t>Master Setting Discs</t>
  </si>
  <si>
    <t>Length</t>
  </si>
  <si>
    <t>Bilateral Tolerance</t>
  </si>
  <si>
    <t>Unilateral Tolerance</t>
  </si>
  <si>
    <t>Bushings</t>
  </si>
  <si>
    <t>Material</t>
  </si>
  <si>
    <t>Brass</t>
  </si>
  <si>
    <t>Aluminum</t>
  </si>
  <si>
    <t>Size ranges are inclusive</t>
  </si>
  <si>
    <t>Bushing  No.</t>
  </si>
  <si>
    <t>B010</t>
  </si>
  <si>
    <t>1W-0.010</t>
  </si>
  <si>
    <t>B015</t>
  </si>
  <si>
    <t>1W-0.015</t>
  </si>
  <si>
    <t>B020</t>
  </si>
  <si>
    <t>1W-0.020</t>
  </si>
  <si>
    <t>B025</t>
  </si>
  <si>
    <t>1W-0.025</t>
  </si>
  <si>
    <t>B030</t>
  </si>
  <si>
    <t>1W-0.030</t>
  </si>
  <si>
    <t>B035</t>
  </si>
  <si>
    <t>1W-0.035</t>
  </si>
  <si>
    <t>B040</t>
  </si>
  <si>
    <t>1W-0.040</t>
  </si>
  <si>
    <t>B045</t>
  </si>
  <si>
    <t>1W-0.045</t>
  </si>
  <si>
    <t>B050</t>
  </si>
  <si>
    <t>1W-0.050</t>
  </si>
  <si>
    <t>B055</t>
  </si>
  <si>
    <t>1W-0.055</t>
  </si>
  <si>
    <t>B060</t>
  </si>
  <si>
    <t>1W-0.060</t>
  </si>
  <si>
    <t>B065</t>
  </si>
  <si>
    <t>1W-0.065</t>
  </si>
  <si>
    <t>B070</t>
  </si>
  <si>
    <t>1W-0.070</t>
  </si>
  <si>
    <t>B075</t>
  </si>
  <si>
    <t>1W-0.075</t>
  </si>
  <si>
    <t>B082</t>
  </si>
  <si>
    <t>2W-0.082</t>
  </si>
  <si>
    <t>B089</t>
  </si>
  <si>
    <t>2W-0.089</t>
  </si>
  <si>
    <t>B096</t>
  </si>
  <si>
    <t>2W-0.096</t>
  </si>
  <si>
    <t>B103</t>
  </si>
  <si>
    <t>2W-0.103</t>
  </si>
  <si>
    <t>B110</t>
  </si>
  <si>
    <t>2W-0.110</t>
  </si>
  <si>
    <t>B117</t>
  </si>
  <si>
    <t>2W-0.117</t>
  </si>
  <si>
    <t>B124</t>
  </si>
  <si>
    <t>2W-0.124</t>
  </si>
  <si>
    <t>B131</t>
  </si>
  <si>
    <t>2W-0.131</t>
  </si>
  <si>
    <t>B138</t>
  </si>
  <si>
    <t>2W-0.138</t>
  </si>
  <si>
    <t>B145</t>
  </si>
  <si>
    <t>2W-0.145</t>
  </si>
  <si>
    <t>B152</t>
  </si>
  <si>
    <t>2W-0.152</t>
  </si>
  <si>
    <t>B159</t>
  </si>
  <si>
    <t>2W-0.159</t>
  </si>
  <si>
    <t>B166</t>
  </si>
  <si>
    <t>2W-0.166</t>
  </si>
  <si>
    <t>B173</t>
  </si>
  <si>
    <t>2W-0.173</t>
  </si>
  <si>
    <t>B180</t>
  </si>
  <si>
    <t>2W-0.180</t>
  </si>
  <si>
    <t>B188</t>
  </si>
  <si>
    <t>3W-0.188</t>
  </si>
  <si>
    <t>B196</t>
  </si>
  <si>
    <t>3W-0.196</t>
  </si>
  <si>
    <t>B204</t>
  </si>
  <si>
    <t>3W-0.204</t>
  </si>
  <si>
    <t>B212</t>
  </si>
  <si>
    <t>3W-0.212</t>
  </si>
  <si>
    <t>B220</t>
  </si>
  <si>
    <t>3W-0.220</t>
  </si>
  <si>
    <t>B228</t>
  </si>
  <si>
    <t>3W-0.228</t>
  </si>
  <si>
    <t>B236</t>
  </si>
  <si>
    <t>3W-0.236</t>
  </si>
  <si>
    <t>B244</t>
  </si>
  <si>
    <t>3W-0.244</t>
  </si>
  <si>
    <t>B252</t>
  </si>
  <si>
    <t>3W-0.252</t>
  </si>
  <si>
    <t>B261</t>
  </si>
  <si>
    <t>3W-0.261</t>
  </si>
  <si>
    <t>B271</t>
  </si>
  <si>
    <t>3W-0.271</t>
  </si>
  <si>
    <t>B281</t>
  </si>
  <si>
    <t>3W-0.281</t>
  </si>
  <si>
    <t>B291</t>
  </si>
  <si>
    <t>4W-0.291</t>
  </si>
  <si>
    <t>B301</t>
  </si>
  <si>
    <t>4W-0.301</t>
  </si>
  <si>
    <t>B311</t>
  </si>
  <si>
    <t>4W-0.311</t>
  </si>
  <si>
    <t>B321</t>
  </si>
  <si>
    <t>4W-0.321</t>
  </si>
  <si>
    <t>B331</t>
  </si>
  <si>
    <t>4W-0.331</t>
  </si>
  <si>
    <t>B341</t>
  </si>
  <si>
    <t>4W-0.341</t>
  </si>
  <si>
    <t>B351</t>
  </si>
  <si>
    <t>4W-0.351</t>
  </si>
  <si>
    <t>B361</t>
  </si>
  <si>
    <t>4W-0.361</t>
  </si>
  <si>
    <t>B371</t>
  </si>
  <si>
    <t>4W-0.371</t>
  </si>
  <si>
    <t>B382</t>
  </si>
  <si>
    <t>4W-0.382</t>
  </si>
  <si>
    <t>B394</t>
  </si>
  <si>
    <t>4W-0.394</t>
  </si>
  <si>
    <t>B406</t>
  </si>
  <si>
    <t>4W-0.406</t>
  </si>
  <si>
    <t>B420</t>
  </si>
  <si>
    <t>5W-0.420</t>
  </si>
  <si>
    <t>B435</t>
  </si>
  <si>
    <t>5W-0.435</t>
  </si>
  <si>
    <t>B450</t>
  </si>
  <si>
    <t>5W-0.450</t>
  </si>
  <si>
    <t>B465</t>
  </si>
  <si>
    <t>5W-0.465</t>
  </si>
  <si>
    <t>B480</t>
  </si>
  <si>
    <t>5W-0.480</t>
  </si>
  <si>
    <t>B495</t>
  </si>
  <si>
    <t>5W-0.495</t>
  </si>
  <si>
    <t>B510</t>
  </si>
  <si>
    <t>5W-0.510</t>
  </si>
  <si>
    <t>B532</t>
  </si>
  <si>
    <t>6W-0.532</t>
  </si>
  <si>
    <t>B547</t>
  </si>
  <si>
    <t>6W-0.547</t>
  </si>
  <si>
    <t>B563</t>
  </si>
  <si>
    <t>6W-0.563</t>
  </si>
  <si>
    <t>B579</t>
  </si>
  <si>
    <t>6W-0.579</t>
  </si>
  <si>
    <t>B594</t>
  </si>
  <si>
    <t>6W-0.594</t>
  </si>
  <si>
    <t>B610</t>
  </si>
  <si>
    <t>6W-0.610</t>
  </si>
  <si>
    <t>B625</t>
  </si>
  <si>
    <t>6W-0.625</t>
  </si>
  <si>
    <t>B635</t>
  </si>
  <si>
    <t>6W-0.635</t>
  </si>
  <si>
    <t>B656</t>
  </si>
  <si>
    <t>7W-0.656</t>
  </si>
  <si>
    <t>B672</t>
  </si>
  <si>
    <t>7W-0.672</t>
  </si>
  <si>
    <t>B688</t>
  </si>
  <si>
    <t>7W-0.688</t>
  </si>
  <si>
    <t>B704</t>
  </si>
  <si>
    <t>7W-0.704</t>
  </si>
  <si>
    <t>B719</t>
  </si>
  <si>
    <t>7W-0.719</t>
  </si>
  <si>
    <t>B735</t>
  </si>
  <si>
    <t>7W-0.735</t>
  </si>
  <si>
    <t>B750</t>
  </si>
  <si>
    <t>7W-0.750</t>
  </si>
  <si>
    <t>B760</t>
  </si>
  <si>
    <t>7W-0.760</t>
  </si>
  <si>
    <t>B781</t>
  </si>
  <si>
    <t>8W-0.781</t>
  </si>
  <si>
    <t>B812</t>
  </si>
  <si>
    <t>8W-0.812</t>
  </si>
  <si>
    <t>B843</t>
  </si>
  <si>
    <t>8W-0.843</t>
  </si>
  <si>
    <t>B875</t>
  </si>
  <si>
    <t>8W-0.875</t>
  </si>
  <si>
    <t>B906</t>
  </si>
  <si>
    <t>8W-0.906</t>
  </si>
  <si>
    <t>B937</t>
  </si>
  <si>
    <t>8W-0.937</t>
  </si>
  <si>
    <t>B968</t>
  </si>
  <si>
    <t>8W-0.968</t>
  </si>
  <si>
    <t>B1000</t>
  </si>
  <si>
    <t>8W-1.010</t>
  </si>
  <si>
    <t>Note: All tabulated size ranges are inclusive.</t>
  </si>
  <si>
    <t>Handle No.</t>
  </si>
  <si>
    <t>*No bushings required</t>
  </si>
  <si>
    <t>1PGHDE</t>
  </si>
  <si>
    <t>2PGHDE</t>
  </si>
  <si>
    <t>3PGHDE</t>
  </si>
  <si>
    <t>4PGHDE</t>
  </si>
  <si>
    <t>5PGHDE</t>
  </si>
  <si>
    <t>6PGHDE</t>
  </si>
  <si>
    <t>7PGHDE</t>
  </si>
  <si>
    <t>8PGHDE</t>
  </si>
  <si>
    <t>7-Handle Bundle</t>
  </si>
  <si>
    <t>Accessories</t>
  </si>
  <si>
    <t>IN0</t>
  </si>
  <si>
    <t>IN05</t>
  </si>
  <si>
    <t>IN1</t>
  </si>
  <si>
    <t>IN15</t>
  </si>
  <si>
    <t>IN2</t>
  </si>
  <si>
    <t>IN25</t>
  </si>
  <si>
    <t>IN3</t>
  </si>
  <si>
    <t>IN35</t>
  </si>
  <si>
    <t>MG-25 Series Cases</t>
  </si>
  <si>
    <t>IN4</t>
  </si>
  <si>
    <t>IN45</t>
  </si>
  <si>
    <t>IN5</t>
  </si>
  <si>
    <t>IN55</t>
  </si>
  <si>
    <t>IN6</t>
  </si>
  <si>
    <t>IN65</t>
  </si>
  <si>
    <t>IN7</t>
  </si>
  <si>
    <t>IN75</t>
  </si>
  <si>
    <t>LE4</t>
  </si>
  <si>
    <t>4-Drawer Metal Cabinet</t>
  </si>
  <si>
    <t>IN0MM</t>
  </si>
  <si>
    <t>IN01MM</t>
  </si>
  <si>
    <t>IN1MM</t>
  </si>
  <si>
    <t>IN11MM</t>
  </si>
  <si>
    <t>IN2MM</t>
  </si>
  <si>
    <t>IN21MM</t>
  </si>
  <si>
    <t>IN3MM</t>
  </si>
  <si>
    <t>IN31MM</t>
  </si>
  <si>
    <t>IN4MM</t>
  </si>
  <si>
    <t>IN41MM</t>
  </si>
  <si>
    <t>IN5MM</t>
  </si>
  <si>
    <t>IN51MM</t>
  </si>
  <si>
    <t>IN6MM</t>
  </si>
  <si>
    <t>IN61MM</t>
  </si>
  <si>
    <t>IN7MM</t>
  </si>
  <si>
    <t>IN71MM</t>
  </si>
  <si>
    <t>IN8MM</t>
  </si>
  <si>
    <t>IN81MM</t>
  </si>
  <si>
    <t>Bushings for Reversible Handles</t>
  </si>
  <si>
    <t>Taperlock Handles</t>
  </si>
  <si>
    <t>HDL-TP-1</t>
  </si>
  <si>
    <t>HDL-TP-2</t>
  </si>
  <si>
    <t>HDL-TP-3</t>
  </si>
  <si>
    <t>HDL-TP-4</t>
  </si>
  <si>
    <t>HDL-TP-5</t>
  </si>
  <si>
    <t>HDL-TR-2.5-SE</t>
  </si>
  <si>
    <t>HDL-TR-3.5-SE</t>
  </si>
  <si>
    <t>HDL-TR-4.5-SE</t>
  </si>
  <si>
    <t>HDL-TR-5.5-SE</t>
  </si>
  <si>
    <t>HDL-TR-6-SE</t>
  </si>
  <si>
    <t>HDL-TR-7-SE</t>
  </si>
  <si>
    <t>HDL-TR-2.5-DE</t>
  </si>
  <si>
    <t>HDL-TR-3.5-DE</t>
  </si>
  <si>
    <t>HDL-TR-4.5-DE</t>
  </si>
  <si>
    <t>HDL-TR-5.5-DE</t>
  </si>
  <si>
    <t>HDL-TR-6-DE</t>
  </si>
  <si>
    <t>HDL-TR-7-DE</t>
  </si>
  <si>
    <t>Trilock Handles</t>
  </si>
  <si>
    <t>2-1/2</t>
  </si>
  <si>
    <t>3-1/2</t>
  </si>
  <si>
    <t>4-1/2</t>
  </si>
  <si>
    <t>5-1/2</t>
  </si>
  <si>
    <t xml:space="preserve"> - </t>
  </si>
  <si>
    <t>CASE-SM</t>
  </si>
  <si>
    <t>CASE-LG</t>
  </si>
  <si>
    <t>CASE-MG-SM</t>
  </si>
  <si>
    <t>CASE-MG-MD</t>
  </si>
  <si>
    <t>LIN4</t>
  </si>
  <si>
    <t>1W</t>
  </si>
  <si>
    <t>2W</t>
  </si>
  <si>
    <t>3W</t>
  </si>
  <si>
    <t>4W</t>
  </si>
  <si>
    <t>5W</t>
  </si>
  <si>
    <t>6W</t>
  </si>
  <si>
    <t>7W</t>
  </si>
  <si>
    <t>8W</t>
  </si>
  <si>
    <t>Steel</t>
  </si>
  <si>
    <t>Chrome</t>
  </si>
  <si>
    <t>Carbide</t>
  </si>
  <si>
    <t>Bushings sold separately</t>
  </si>
  <si>
    <t>Custom 25-Member Pin Gage Sets</t>
  </si>
  <si>
    <t>Available in steel only</t>
  </si>
  <si>
    <t>Single-end handles come with a green (Go) cap, unless otherwise specified</t>
  </si>
  <si>
    <t>00</t>
  </si>
  <si>
    <t>ISO 17025 Accredited Calibration Services</t>
  </si>
  <si>
    <t>Thread Wires (3-pc. set)</t>
  </si>
  <si>
    <t>Poly Case Inserts - Inch Sets</t>
  </si>
  <si>
    <t>Poly Case Inserts - Metric Sets</t>
  </si>
  <si>
    <t>M0</t>
  </si>
  <si>
    <t>M05</t>
  </si>
  <si>
    <t>M1/C10</t>
  </si>
  <si>
    <t>M15/C105</t>
  </si>
  <si>
    <t>M2</t>
  </si>
  <si>
    <t>M25</t>
  </si>
  <si>
    <t>M3</t>
  </si>
  <si>
    <t>M35</t>
  </si>
  <si>
    <t>M4</t>
  </si>
  <si>
    <t>M45</t>
  </si>
  <si>
    <t>M5</t>
  </si>
  <si>
    <t>M55</t>
  </si>
  <si>
    <t>M6</t>
  </si>
  <si>
    <t>M65</t>
  </si>
  <si>
    <t>M7</t>
  </si>
  <si>
    <t>M75</t>
  </si>
  <si>
    <t>M0MM</t>
  </si>
  <si>
    <t>M01MM</t>
  </si>
  <si>
    <t>M1MM</t>
  </si>
  <si>
    <t>M11MM</t>
  </si>
  <si>
    <t>M2MM</t>
  </si>
  <si>
    <t>M21MM</t>
  </si>
  <si>
    <t>M3MM</t>
  </si>
  <si>
    <t>M31MM</t>
  </si>
  <si>
    <t>M4MM</t>
  </si>
  <si>
    <t>M41MM</t>
  </si>
  <si>
    <t>M5MM</t>
  </si>
  <si>
    <t>M51MM</t>
  </si>
  <si>
    <t>M6MM</t>
  </si>
  <si>
    <t>M61MM</t>
  </si>
  <si>
    <t>M7MM</t>
  </si>
  <si>
    <t>M71MM</t>
  </si>
  <si>
    <t>M8MM</t>
  </si>
  <si>
    <t>M81MM</t>
  </si>
  <si>
    <t>Thickness (C)</t>
  </si>
  <si>
    <t>Meyer Gage Company</t>
  </si>
  <si>
    <t>Price List</t>
  </si>
  <si>
    <t>(860) 528-6526</t>
  </si>
  <si>
    <t>sales@meyergage.com</t>
  </si>
  <si>
    <t>PRICES SUBJECT TO CHANGE WITHOUT NOTICE</t>
  </si>
  <si>
    <t>CALIBRATION THREAD WIRE SET USED (3)</t>
  </si>
  <si>
    <t>Class Z</t>
  </si>
  <si>
    <t>CALIBRATION MASTER SET DISC USED</t>
  </si>
  <si>
    <t>CALIBRATION MASTER SET DISC NEW</t>
  </si>
  <si>
    <t>CALIBRATION PROGRESSIVE USED</t>
  </si>
  <si>
    <t>CALIBRATION PROGRESSIVE</t>
  </si>
  <si>
    <t>CALIBRATION TRILOCK USED</t>
  </si>
  <si>
    <t>CALIBRATION TRILOCK NEW</t>
  </si>
  <si>
    <t>CALIBRATION TAPERLOCK USED</t>
  </si>
  <si>
    <t>CALIBRATION TAPERLOCK NEW</t>
  </si>
  <si>
    <t>Plain Ring Gage</t>
  </si>
  <si>
    <t>CALIBRATION RING USED</t>
  </si>
  <si>
    <t>CALIBRATION RING NEW</t>
  </si>
  <si>
    <t>CALIBRATION X SPECIAL LENGTH USED</t>
  </si>
  <si>
    <t>CALIBRATION X SPECIAL LENGTH NEW</t>
  </si>
  <si>
    <t>CALIBRATION ZZ SPECIAL LENGTH USED</t>
  </si>
  <si>
    <t>CALIBRATION ZZ SPECIAL LENGTH NEW</t>
  </si>
  <si>
    <t>Class XX</t>
  </si>
  <si>
    <t>CALIBRATION CLASS XX PIN USED</t>
  </si>
  <si>
    <t>CALIBRATION CLASS XX PIN NEW</t>
  </si>
  <si>
    <t>CALIBRATION CLASS X PIN USED</t>
  </si>
  <si>
    <t>CALIBRATION CLASS X PIN NEW</t>
  </si>
  <si>
    <t>New</t>
  </si>
  <si>
    <t>CALIBRATION CLASS Z PIN USED</t>
  </si>
  <si>
    <t>CALIBRATION CLASS Z PIN NEW</t>
  </si>
  <si>
    <t>CALIBRATION CLASS ZZ PIN USED</t>
  </si>
  <si>
    <t>CALIBRATION CLASS ZZ PIN NEW</t>
  </si>
  <si>
    <t>Plain Pin Gages</t>
  </si>
  <si>
    <t>Customer Property</t>
  </si>
  <si>
    <t>New Product</t>
  </si>
  <si>
    <t>Z calibration performed on laser</t>
  </si>
  <si>
    <t>Increment:</t>
  </si>
  <si>
    <t>Price</t>
  </si>
  <si>
    <t>Individual Pin Gages</t>
  </si>
  <si>
    <t>INCH</t>
  </si>
  <si>
    <t>METRIC</t>
  </si>
  <si>
    <t>*.0005" increments</t>
  </si>
  <si>
    <t>Class</t>
  </si>
  <si>
    <t>Min.</t>
  </si>
  <si>
    <t>Max.</t>
  </si>
  <si>
    <t>mm</t>
  </si>
  <si>
    <t>O.D. (B)</t>
  </si>
  <si>
    <t>Blank No.</t>
  </si>
  <si>
    <t>19.1mm</t>
  </si>
  <si>
    <t>41.3mm</t>
  </si>
  <si>
    <t>3/4"</t>
  </si>
  <si>
    <t>1-5/8"</t>
  </si>
  <si>
    <t>15.9mm</t>
  </si>
  <si>
    <t>38.1mm</t>
  </si>
  <si>
    <t>5/8"</t>
  </si>
  <si>
    <t>1-1/2"</t>
  </si>
  <si>
    <t>12.7mm</t>
  </si>
  <si>
    <t>31.8mm</t>
  </si>
  <si>
    <t>1/2"</t>
  </si>
  <si>
    <t>1-1/4"</t>
  </si>
  <si>
    <t>9.5mm</t>
  </si>
  <si>
    <t>25.4mm</t>
  </si>
  <si>
    <t>3/8"</t>
  </si>
  <si>
    <t>1"</t>
  </si>
  <si>
    <t>7.9mm</t>
  </si>
  <si>
    <t>NoGo</t>
  </si>
  <si>
    <t>Go</t>
  </si>
  <si>
    <t>Member Length</t>
  </si>
  <si>
    <t>Member Price</t>
  </si>
  <si>
    <t>Assembly Price</t>
  </si>
  <si>
    <t>Go/NoGo</t>
  </si>
  <si>
    <t>Go/NoGo Assemblies</t>
  </si>
  <si>
    <t>Assy mark-up</t>
  </si>
  <si>
    <t>Universal Pin Gage Handles*</t>
  </si>
  <si>
    <t>SE</t>
  </si>
  <si>
    <t>DE</t>
  </si>
  <si>
    <t>HDL No.</t>
  </si>
  <si>
    <t>Member</t>
  </si>
  <si>
    <t>Assembly</t>
  </si>
  <si>
    <t>Grip No.</t>
  </si>
  <si>
    <t>Insulating Grips</t>
  </si>
  <si>
    <t>STYLE 1</t>
  </si>
  <si>
    <t>STYLE 2*</t>
  </si>
  <si>
    <t>STYLE 3</t>
  </si>
  <si>
    <t>DE handle with 2 green or 2 red caps -&gt; 25% charge (list)</t>
  </si>
  <si>
    <t>Half-thousandths</t>
  </si>
  <si>
    <t>"tenths"</t>
  </si>
  <si>
    <t>Standard Reversible Plug Gages</t>
  </si>
  <si>
    <t>List based on scope?</t>
  </si>
  <si>
    <t>Taperlocks</t>
  </si>
  <si>
    <t>Progressives</t>
  </si>
  <si>
    <t>Current</t>
  </si>
  <si>
    <t>Revised</t>
  </si>
  <si>
    <t>inch = 4 dec. places</t>
  </si>
  <si>
    <t>mm = 2 dec. places</t>
  </si>
  <si>
    <t>Δ</t>
  </si>
  <si>
    <t>Pricing comp: Vermont ZZ sets</t>
  </si>
  <si>
    <t>.0005" sets &gt;&gt; 10%+ more than .001" sets</t>
  </si>
  <si>
    <t>Library</t>
  </si>
  <si>
    <t>Odd mm sets &gt;&gt; 10%+ more than even mm sets</t>
  </si>
  <si>
    <t>Go (Plus) or NoGo (Minus)</t>
  </si>
  <si>
    <t>Class ZZ Custom-Length Pin Gages</t>
  </si>
  <si>
    <t>Class X Custom-Length Pin Gages</t>
  </si>
  <si>
    <t>*Specify Go and NoGo sizes for Style #2</t>
  </si>
  <si>
    <t>•</t>
  </si>
  <si>
    <t>mm = 3 dec. places</t>
  </si>
  <si>
    <t>Class Z (.0001" or .0025mm tolerance)</t>
  </si>
  <si>
    <t>.001" or .02mm increments</t>
  </si>
  <si>
    <t>Class X (.00004" or .001mm tolerance)</t>
  </si>
  <si>
    <t>Class X (.00004" tolerance)</t>
  </si>
  <si>
    <t>.001" increments</t>
  </si>
  <si>
    <t>.0001" or .01mm increments</t>
  </si>
  <si>
    <t>Class ZZ (.0002" or .005mm tolerance)</t>
  </si>
  <si>
    <t>Class XX, X, Y, or Z</t>
  </si>
  <si>
    <t>Steel, Chrome, or Carbide</t>
  </si>
  <si>
    <t>*Specify Go or NoGo blank</t>
  </si>
  <si>
    <t>Class XX, X, or Y</t>
  </si>
  <si>
    <t>Sold with insulating grips</t>
  </si>
  <si>
    <t>Go/NoGo assemblies quoted upon request</t>
  </si>
  <si>
    <t>Custom Plain Trilock Gages</t>
  </si>
  <si>
    <t>Custom Plain Taperlock Gages</t>
  </si>
  <si>
    <t>Custom Plain Progressive Gages</t>
  </si>
  <si>
    <t>Custom Master Setting Discs</t>
  </si>
  <si>
    <t>* .0005" increments</t>
  </si>
  <si>
    <t>Specify Go and NoGo sizes</t>
  </si>
  <si>
    <r>
      <rPr>
        <b/>
        <sz val="11"/>
        <rFont val="Calibri"/>
        <family val="2"/>
        <scheme val="minor"/>
      </rPr>
      <t>Note</t>
    </r>
    <r>
      <rPr>
        <sz val="11"/>
        <rFont val="Calibri"/>
        <family val="2"/>
        <scheme val="minor"/>
      </rPr>
      <t>: L3X and L4X consist of (2) 4-drawer metal cabinets.</t>
    </r>
  </si>
  <si>
    <r>
      <t xml:space="preserve">Custom marking available </t>
    </r>
    <r>
      <rPr>
        <sz val="11"/>
        <color rgb="FF0000E1"/>
        <rFont val="Calibri"/>
        <family val="2"/>
      </rPr>
      <t>–</t>
    </r>
    <r>
      <rPr>
        <sz val="11"/>
        <color rgb="FF0000E1"/>
        <rFont val="Calibri"/>
        <family val="2"/>
        <scheme val="minor"/>
      </rPr>
      <t xml:space="preserve"> $15 per handle flat</t>
    </r>
  </si>
  <si>
    <t>Set No.</t>
  </si>
  <si>
    <t>ZZ</t>
  </si>
  <si>
    <t>Add ASME standard references</t>
  </si>
  <si>
    <t>Revise plug gage tolerance &amp; selection section (10% rule)</t>
  </si>
  <si>
    <t>Replace "microfinish" with "microinch"</t>
  </si>
  <si>
    <t>Remove all references to centerless lapping</t>
  </si>
  <si>
    <t>Go (Plus), NoGo (Minus), or Master (Bilateral) tolerance</t>
  </si>
  <si>
    <t>Go (Plus), NoGo (Minus), or Master* (Bilateral) tolerance</t>
  </si>
  <si>
    <t>Class X Sets</t>
  </si>
  <si>
    <t>Poly Cases &amp; Cabinets</t>
  </si>
  <si>
    <t>Gage handle dimensions/standards</t>
  </si>
  <si>
    <t>price = go TP gage + nogo TP gage</t>
  </si>
  <si>
    <t>Maximum Go/NoGo step is .025"</t>
  </si>
  <si>
    <t>Tabulated member lengths exclude the length of the shank</t>
  </si>
  <si>
    <t>Available in size increments of .0005” or 0.01mm.</t>
  </si>
  <si>
    <t>Class Z pins available in size increments of .0005” or 0.01mm.</t>
  </si>
  <si>
    <t>Taperlock-style (up to 1.510")</t>
  </si>
  <si>
    <t>2" standard length</t>
  </si>
  <si>
    <t>Plain Ring Gages</t>
  </si>
  <si>
    <t>Plain Plug Gages</t>
  </si>
  <si>
    <t>Thread Wires</t>
  </si>
  <si>
    <t>Standard Sizes</t>
  </si>
  <si>
    <t>Handle</t>
  </si>
  <si>
    <t>Pricing Considerations</t>
  </si>
  <si>
    <t>Vermont Class X prices</t>
  </si>
  <si>
    <t>Zero Check Class Z prices, sizes offered</t>
  </si>
  <si>
    <t>Custom 2" pin prices (Vermont, GSG, Gage Assy, Zero Check)</t>
  </si>
  <si>
    <t>McMaster bought 74% of Z pins sold in 2024; 65% in 2023; 63% in 2022</t>
  </si>
  <si>
    <t>Judge Tool bought 10% of XX pins sold in 2024</t>
  </si>
  <si>
    <t>CATALOG</t>
  </si>
  <si>
    <t>Custom library configurations quoted upon request.</t>
  </si>
  <si>
    <t>GSG supplies sizes &lt; .060"</t>
  </si>
  <si>
    <t>VG does not offer carbide &gt; 1.510"</t>
  </si>
  <si>
    <t>GSG does not offer carbide &gt; 2.510"</t>
  </si>
  <si>
    <t>Go (Minus), NoGo (Plus), or Master (Bilateral) tolerance</t>
  </si>
  <si>
    <t>Discount</t>
  </si>
  <si>
    <t>Assy price multiple</t>
  </si>
  <si>
    <r>
      <t xml:space="preserve">Custom marking available </t>
    </r>
    <r>
      <rPr>
        <sz val="11"/>
        <color rgb="FF0000E1"/>
        <rFont val="Calibri"/>
        <family val="2"/>
      </rPr>
      <t>–</t>
    </r>
    <r>
      <rPr>
        <sz val="11"/>
        <color rgb="FF0000E1"/>
        <rFont val="Calibri"/>
        <family val="2"/>
        <scheme val="minor"/>
      </rPr>
      <t xml:space="preserve"> $25 per ring</t>
    </r>
  </si>
  <si>
    <t>Taperlock blanks: 01 steel, through-hardened</t>
  </si>
  <si>
    <t>Trilock blanks: case hardened to .060"</t>
  </si>
  <si>
    <t>Go and NoGo sections are separated by a 1/8" recess</t>
  </si>
  <si>
    <t>VG Cl. X (net)</t>
  </si>
  <si>
    <t>X Premium</t>
  </si>
  <si>
    <t>MG Premium</t>
  </si>
  <si>
    <t>Judge Tool bought 27% of XX pins sold in 2024; 18% in 2023</t>
  </si>
  <si>
    <t>BAP</t>
  </si>
  <si>
    <t>BAM</t>
  </si>
  <si>
    <t>BCP</t>
  </si>
  <si>
    <t>BCM</t>
  </si>
  <si>
    <t>BSP</t>
  </si>
  <si>
    <t>BSM</t>
  </si>
  <si>
    <t>Class ZZ Black Ox Libraries</t>
  </si>
  <si>
    <t>B4M</t>
  </si>
  <si>
    <t>B4P</t>
  </si>
  <si>
    <t>B3M</t>
  </si>
  <si>
    <t>B3P</t>
  </si>
  <si>
    <t>B2M</t>
  </si>
  <si>
    <t>B2P</t>
  </si>
  <si>
    <t>B1M</t>
  </si>
  <si>
    <t>B1P</t>
  </si>
  <si>
    <t>B10M</t>
  </si>
  <si>
    <t>B10P</t>
  </si>
  <si>
    <t>B0M</t>
  </si>
  <si>
    <t>B0P</t>
  </si>
  <si>
    <t>cl. X inch = 4 dec. places</t>
  </si>
  <si>
    <t>Create items and assemblies in P21</t>
  </si>
  <si>
    <t>Additional nominal sizes available upon request.</t>
  </si>
  <si>
    <t>Handles marked with class, size, and tolerance direction</t>
  </si>
  <si>
    <t>Half-Thou sets -&gt;  +10% premium</t>
  </si>
  <si>
    <t>-</t>
  </si>
  <si>
    <t>Build P21 import files</t>
  </si>
  <si>
    <t>Create itemized price list</t>
  </si>
  <si>
    <t>Revise discount schedules (PDFs)</t>
  </si>
  <si>
    <t>Revise pin gage size ranges</t>
  </si>
  <si>
    <t>Revise plug gage ASSY item ids</t>
  </si>
  <si>
    <t>.</t>
  </si>
  <si>
    <t>Class X MG-25 Sets</t>
  </si>
  <si>
    <t>Purchase Discount</t>
  </si>
  <si>
    <t>Sales Discount</t>
  </si>
  <si>
    <t>Meyer Gage List</t>
  </si>
  <si>
    <t>Chrome Premium</t>
  </si>
  <si>
    <t>Size ranges corrected Jan-21-2025</t>
  </si>
  <si>
    <t>*Size ranges corrected Jan-21-2025</t>
  </si>
  <si>
    <t>Double-end handles come with a green (Go) and red (NoGo) end cap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</si>
  <si>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Applicable price range determined by size of larger-diameter pin.</t>
    </r>
  </si>
  <si>
    <t>Notes</t>
  </si>
  <si>
    <t>Custom Extra-Length Reversibles up to 12" Long</t>
  </si>
  <si>
    <t>Custom Extra-Length Reversibles up to 6" Long</t>
  </si>
  <si>
    <t>Margin Target, CHR</t>
  </si>
  <si>
    <t>Margin Target, CAR</t>
  </si>
  <si>
    <t>Margin Target, STL</t>
  </si>
  <si>
    <t>Pro Forma</t>
  </si>
  <si>
    <t>Sales Discount Groups</t>
  </si>
  <si>
    <t>discount_group_id</t>
  </si>
  <si>
    <t>discount_group_description</t>
  </si>
  <si>
    <t>delete_flag</t>
  </si>
  <si>
    <t>date_created</t>
  </si>
  <si>
    <t>date_last_modified</t>
  </si>
  <si>
    <t>last_maintained_by</t>
  </si>
  <si>
    <t>Class Z Sets</t>
  </si>
  <si>
    <t>N</t>
  </si>
  <si>
    <t>bbryer</t>
  </si>
  <si>
    <t>Class ZZ Black Ox Pin Gages</t>
  </si>
  <si>
    <t>Class ZZ Black Ox Sets</t>
  </si>
  <si>
    <t>BBryer</t>
  </si>
  <si>
    <t>Class ZZ Pin Gages</t>
  </si>
  <si>
    <t>Class Z Pin Gages</t>
  </si>
  <si>
    <t>Metric Class Z Sets</t>
  </si>
  <si>
    <t>Metric Class ZZ Pin Gages</t>
  </si>
  <si>
    <t>Metric Class Z Pin Gages</t>
  </si>
  <si>
    <t>Metric Class Z Libraries</t>
  </si>
  <si>
    <t>16-00</t>
  </si>
  <si>
    <t>Thread Measuring Wires</t>
  </si>
  <si>
    <t>jmeyer</t>
  </si>
  <si>
    <t>16-20H</t>
  </si>
  <si>
    <t>Thread Measuring Wires 60 Degree Set (3)</t>
  </si>
  <si>
    <t>17-00</t>
  </si>
  <si>
    <t>Gear Measuring Wires</t>
  </si>
  <si>
    <t>Class X Pin Gages</t>
  </si>
  <si>
    <t>Metric Class X Pin Gages</t>
  </si>
  <si>
    <t>19-00H</t>
  </si>
  <si>
    <t>Thread Metric Reversible Steel Plug</t>
  </si>
  <si>
    <t>19-00MR</t>
  </si>
  <si>
    <t>Thread Metric Ring Gage</t>
  </si>
  <si>
    <t>19-00MS</t>
  </si>
  <si>
    <t>Thread Metric Setting Plug</t>
  </si>
  <si>
    <t>19-00MT</t>
  </si>
  <si>
    <t>Thread Metric Taperlock Plug</t>
  </si>
  <si>
    <t>19-00R</t>
  </si>
  <si>
    <t>Thread Ring Gage</t>
  </si>
  <si>
    <t>19-00S</t>
  </si>
  <si>
    <t>Thread Truncated Setting Plugs</t>
  </si>
  <si>
    <t>19-00T</t>
  </si>
  <si>
    <t>Thread Taperlock Steel Plug Gage</t>
  </si>
  <si>
    <t>19-00THC</t>
  </si>
  <si>
    <t>Helical Coil Taperlock Steel Gages</t>
  </si>
  <si>
    <t>19-00TI</t>
  </si>
  <si>
    <t>Thread HSS Taperlock Plug Gage TiN Coat</t>
  </si>
  <si>
    <t>19-00TP</t>
  </si>
  <si>
    <t>Thread Taper Pipe gages NPT</t>
  </si>
  <si>
    <t>19-00TPF</t>
  </si>
  <si>
    <t>Thread Taper Pipe Gages NPTF</t>
  </si>
  <si>
    <t>19-00TRI</t>
  </si>
  <si>
    <t>Thread Trilock Reversible Steel Plug</t>
  </si>
  <si>
    <t>19-00W R</t>
  </si>
  <si>
    <t>Thread Reversible Steel Plug Gage</t>
  </si>
  <si>
    <t>Custom Class ZZ Pin Gages</t>
  </si>
  <si>
    <t>Custom Class X Pin Gages</t>
  </si>
  <si>
    <t>Class X MG-25 Series</t>
  </si>
  <si>
    <t>admin</t>
  </si>
  <si>
    <t>Black Ox ZZ Go/NoGo Assy</t>
  </si>
  <si>
    <t>Black Ox ZZ Single-End Assy</t>
  </si>
  <si>
    <t>Class Z Go/NoGo Assy</t>
  </si>
  <si>
    <t>Class Z Single-End Assy</t>
  </si>
  <si>
    <t>Class X Go/NoGo Assy</t>
  </si>
  <si>
    <t>Class X Single-End Assy</t>
  </si>
  <si>
    <t>Class XX Go/NoGo Assy</t>
  </si>
  <si>
    <t>Class XX Single-End Assy</t>
  </si>
  <si>
    <t>Metric Class Z Go/NoGo Assy</t>
  </si>
  <si>
    <t>Metric Class Z Single-End Assy</t>
  </si>
  <si>
    <t>Metric Class X Go/NoGo Assy</t>
  </si>
  <si>
    <t>Metric Class X Single-End Assy</t>
  </si>
  <si>
    <t>Metric Class XX Go/NoGo Assy</t>
  </si>
  <si>
    <t>Metric Class XX Single-End Assy</t>
  </si>
  <si>
    <t>Handles</t>
  </si>
  <si>
    <t>Taperlock Gages</t>
  </si>
  <si>
    <t>Trilock Gages</t>
  </si>
  <si>
    <t>Class XX Pin Gages</t>
  </si>
  <si>
    <t>Progressive Gages</t>
  </si>
  <si>
    <t>Hex Gages</t>
  </si>
  <si>
    <t>Metric Class XX Pin Gages</t>
  </si>
  <si>
    <t>Class Z Single-End Assembly</t>
  </si>
  <si>
    <t>Class Z Double-End Assembly</t>
  </si>
  <si>
    <t>Metric Class Z Single-End Assembly</t>
  </si>
  <si>
    <t>Metric Class Z Double-End Assembly</t>
  </si>
  <si>
    <t>Class X Single-End Assembly</t>
  </si>
  <si>
    <t>Class X Double-End Assembly</t>
  </si>
  <si>
    <t>Metric Class X Single-End Assembly</t>
  </si>
  <si>
    <t>Metric Class X Double-End Assembly</t>
  </si>
  <si>
    <t>Class XX Single-End Assembly</t>
  </si>
  <si>
    <t>Class XX Double-End Assembly</t>
  </si>
  <si>
    <t>Metric Class XX Single-End Assembly</t>
  </si>
  <si>
    <t>Metric Class XX Double-End Assembly</t>
  </si>
  <si>
    <t>Tool Cart and Accessories</t>
  </si>
  <si>
    <t>Black Ox Class ZZ Single-End Assembly</t>
  </si>
  <si>
    <t>Black Ox Class ZZ Double-End Assembly</t>
  </si>
  <si>
    <t>Laser Marking</t>
  </si>
  <si>
    <t>Production Services</t>
  </si>
  <si>
    <t>Direct Market Promotion Codes</t>
  </si>
  <si>
    <t>GageShop.Com Items</t>
  </si>
  <si>
    <t>Office Supplies</t>
  </si>
  <si>
    <t>Shop Supplies</t>
  </si>
  <si>
    <t>Shipping Supplies</t>
  </si>
  <si>
    <t>New Items</t>
  </si>
  <si>
    <t>ASSYZ45</t>
  </si>
  <si>
    <t>Assembly, Class Z - 45%</t>
  </si>
  <si>
    <t>D</t>
  </si>
  <si>
    <t>Default</t>
  </si>
  <si>
    <t>NONINV</t>
  </si>
  <si>
    <t>NON-INVENTORY</t>
  </si>
  <si>
    <t>RROLLI</t>
  </si>
  <si>
    <t>disc. grp. id</t>
  </si>
  <si>
    <t>discount group description</t>
  </si>
  <si>
    <t>MG-25 sets are built around a center nominal gage and include 12 larger gages and 12 smaller gages that increase and decrease, respectively, in size from the nominal in .0001" or .01mm increments.</t>
  </si>
  <si>
    <t>Table headers on Library pages</t>
  </si>
  <si>
    <t>MSC</t>
  </si>
  <si>
    <t>Pro Forma, net</t>
  </si>
  <si>
    <t>VG List Price (2025)</t>
  </si>
  <si>
    <t>inch = 3 dec. places</t>
  </si>
  <si>
    <t>Single-end handles sold with Go screw, unless otherwise specified</t>
  </si>
  <si>
    <t>Double-end handles sold with Go and NoGo screws</t>
  </si>
  <si>
    <t>Class ZZ Custom-Length</t>
  </si>
  <si>
    <t>Class X Custom-Length</t>
  </si>
  <si>
    <t>MG Cl. Z (net)</t>
  </si>
  <si>
    <t>Custom Plain Ring Gages</t>
  </si>
  <si>
    <t>`</t>
  </si>
  <si>
    <t>Range</t>
  </si>
  <si>
    <t>Custom marking available upon request</t>
  </si>
  <si>
    <t>Ensure all items are categorized correctly (product group, etc.); review DEFAULT prod group</t>
  </si>
  <si>
    <t>Class ZZ Black Ox</t>
  </si>
  <si>
    <t>Pin Gages, Sets, &amp; Libraries</t>
  </si>
  <si>
    <t>Class ZZ (.0002" tolerance)</t>
  </si>
  <si>
    <t>Black Ox Sets</t>
  </si>
  <si>
    <t>Black Ox Libraries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</si>
  <si>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All tabulated size ranges are inclusive.</t>
    </r>
  </si>
  <si>
    <t>VG 2025</t>
  </si>
  <si>
    <t>DISTRIBUTOR</t>
  </si>
  <si>
    <t>MCMASTER</t>
  </si>
  <si>
    <t>Inch Sets</t>
  </si>
  <si>
    <t>Metric Sets</t>
  </si>
  <si>
    <t>Inch Libraries</t>
  </si>
  <si>
    <t>Metric Libraries</t>
  </si>
  <si>
    <t>M0X</t>
  </si>
  <si>
    <t>M05X</t>
  </si>
  <si>
    <t>C10X</t>
  </si>
  <si>
    <t>C105X</t>
  </si>
  <si>
    <t>M1X</t>
  </si>
  <si>
    <t>M15X</t>
  </si>
  <si>
    <t>M2X</t>
  </si>
  <si>
    <t>M25X</t>
  </si>
  <si>
    <t>M3X</t>
  </si>
  <si>
    <t>M35X</t>
  </si>
  <si>
    <t>M4X</t>
  </si>
  <si>
    <t>M45X</t>
  </si>
  <si>
    <t>M5X</t>
  </si>
  <si>
    <t>M55X</t>
  </si>
  <si>
    <t>M6X</t>
  </si>
  <si>
    <t>M65X</t>
  </si>
  <si>
    <t>M7X</t>
  </si>
  <si>
    <t>M75X</t>
  </si>
  <si>
    <t>LCX</t>
  </si>
  <si>
    <t>L1X</t>
  </si>
  <si>
    <t>L2CX</t>
  </si>
  <si>
    <t>L2X</t>
  </si>
  <si>
    <t>L3X</t>
  </si>
  <si>
    <t>L4X</t>
  </si>
  <si>
    <t>Calibration Services: Class Z Sets &amp; Libraries</t>
  </si>
  <si>
    <t>"</t>
  </si>
  <si>
    <t>.02mm</t>
  </si>
  <si>
    <t>Calibration Services: Class X Sets &amp; Libraries</t>
  </si>
  <si>
    <t>NEW</t>
  </si>
  <si>
    <t>CUST</t>
  </si>
  <si>
    <t>Range #</t>
  </si>
  <si>
    <t>Class Z, X, or XX</t>
  </si>
  <si>
    <t>Disc. Grp. ID</t>
  </si>
  <si>
    <t>Discount Group</t>
  </si>
  <si>
    <t>*Update pricing in Item IDs file</t>
  </si>
  <si>
    <t>*DE Assy pricing updated Feb-16-2025</t>
  </si>
  <si>
    <t>*Revised 2/126/2025</t>
  </si>
  <si>
    <t>Revise calibration item IDs in Item IDs workbook</t>
  </si>
  <si>
    <t>X calibration performed on labmaster</t>
  </si>
  <si>
    <t>–</t>
  </si>
  <si>
    <t>Cylindrical Certifications</t>
  </si>
  <si>
    <r>
      <t>Note:</t>
    </r>
    <r>
      <rPr>
        <sz val="11"/>
        <color theme="1"/>
        <rFont val="Calibri"/>
        <family val="2"/>
        <scheme val="minor"/>
      </rPr>
      <t xml:space="preserve"> Style #2 Go and NoGo sections are separated by a 1/8" recess.</t>
    </r>
  </si>
  <si>
    <t>Accessories (cont.)</t>
  </si>
  <si>
    <t>price_library_id</t>
  </si>
  <si>
    <t>$20 (net) is also the minimum restocking fee</t>
  </si>
  <si>
    <t>Handling charge for all dropshipped orders? (Deltronix 2025 policy)</t>
  </si>
  <si>
    <t>Price Range</t>
  </si>
  <si>
    <t>CAL-</t>
  </si>
  <si>
    <t>PIN-</t>
  </si>
  <si>
    <t>RING-</t>
  </si>
  <si>
    <t>TP-</t>
  </si>
  <si>
    <t>TR-</t>
  </si>
  <si>
    <t>PRG-</t>
  </si>
  <si>
    <t>MSD-</t>
  </si>
  <si>
    <t>CAL-CERT-ADDL</t>
  </si>
  <si>
    <t>CAL-CERT-INDIV</t>
  </si>
  <si>
    <t>Calibration Certificate, Additional Copy</t>
  </si>
  <si>
    <t>Pin</t>
  </si>
  <si>
    <t>Ring</t>
  </si>
  <si>
    <t>Progressive</t>
  </si>
  <si>
    <t>Master Disc</t>
  </si>
  <si>
    <t>Customer</t>
  </si>
  <si>
    <t>CUSTOM-</t>
  </si>
  <si>
    <t>Custom</t>
  </si>
  <si>
    <t>TMW-</t>
  </si>
  <si>
    <t>Bushings (1W - 4W)</t>
  </si>
  <si>
    <t>Bushings (5W - 8W)</t>
  </si>
  <si>
    <t>Custom items cannot be cancelled or returned.</t>
  </si>
  <si>
    <t>Custom-length Go/NoGo assemblies quoted upon request.</t>
  </si>
  <si>
    <t>Master (Bilateral) available for Class X and XX only</t>
  </si>
  <si>
    <r>
      <t xml:space="preserve">Master (Bilateral) tolerance available upon request </t>
    </r>
    <r>
      <rPr>
        <sz val="11"/>
        <color theme="1"/>
        <rFont val="Calibri"/>
        <family val="2"/>
      </rPr>
      <t>– a</t>
    </r>
    <r>
      <rPr>
        <sz val="11"/>
        <color theme="1"/>
        <rFont val="Calibri"/>
        <family val="2"/>
        <scheme val="minor"/>
      </rPr>
      <t>dd 25%</t>
    </r>
  </si>
  <si>
    <r>
      <rPr>
        <b/>
        <sz val="11"/>
        <rFont val="Calibri"/>
        <family val="2"/>
        <scheme val="minor"/>
      </rPr>
      <t>Note</t>
    </r>
    <r>
      <rPr>
        <sz val="11"/>
        <rFont val="Calibri"/>
        <family val="2"/>
        <scheme val="minor"/>
      </rPr>
      <t>: L30MM and L31MM consist of (2) 4-drawer metal cabinets.</t>
    </r>
  </si>
  <si>
    <t>GSG List Price (Mar-2025)</t>
  </si>
  <si>
    <t>Meyer Gage Cost (VG)</t>
  </si>
  <si>
    <t>Meyer Gage Cost (GSG)</t>
  </si>
  <si>
    <t>AVAILABLE WHILE SUPPLIES LAST</t>
  </si>
  <si>
    <t>All Black Ox sales are final.</t>
  </si>
  <si>
    <t>Individual Black Ox Pins</t>
  </si>
  <si>
    <t xml:space="preserve"> </t>
  </si>
  <si>
    <r>
      <rPr>
        <b/>
        <sz val="11"/>
        <rFont val="Calibri"/>
        <family val="2"/>
        <scheme val="minor"/>
      </rPr>
      <t>Note</t>
    </r>
    <r>
      <rPr>
        <sz val="11"/>
        <rFont val="Calibri"/>
        <family val="2"/>
        <scheme val="minor"/>
      </rPr>
      <t>: L3, L35, L4, and L45 consist of (2) 4-drawer metal cabinets.</t>
    </r>
  </si>
  <si>
    <t>-NEW</t>
  </si>
  <si>
    <t>-CUST</t>
  </si>
  <si>
    <t>Clean up calibration item IDs</t>
  </si>
  <si>
    <t>Update McMaster 4" ZZ prices</t>
  </si>
  <si>
    <t>ASSY-Z-1W-GO</t>
  </si>
  <si>
    <t>ASSY-Z-2W-GO</t>
  </si>
  <si>
    <t>ASSY-Z-3W-GO</t>
  </si>
  <si>
    <t>ASSY-Z-4W-GO</t>
  </si>
  <si>
    <t>ASSY-Z-5W-GO</t>
  </si>
  <si>
    <t>ASSY-Z-6W-GO</t>
  </si>
  <si>
    <t>ASSY-Z-7W-GO</t>
  </si>
  <si>
    <t>ASSY-Z-8W-GO</t>
  </si>
  <si>
    <t>ASSY-Z-1W-NG</t>
  </si>
  <si>
    <t>ASSY-Z-2W-NG</t>
  </si>
  <si>
    <t>ASSY-Z-3W-NG</t>
  </si>
  <si>
    <t>ASSY-Z-4W-NG</t>
  </si>
  <si>
    <t>ASSY-Z-5W-NG</t>
  </si>
  <si>
    <t>ASSY-Z-6W-NG</t>
  </si>
  <si>
    <t>ASSY-Z-7W-NG</t>
  </si>
  <si>
    <t>ASSY-Z-8W-NG</t>
  </si>
  <si>
    <t>ASSY-MM-Z-1W-GO</t>
  </si>
  <si>
    <t>ASSY-MM-Z-2W-GO</t>
  </si>
  <si>
    <t>ASSY-MM-Z-3W-GO</t>
  </si>
  <si>
    <t>ASSY-MM-Z-4W-GO</t>
  </si>
  <si>
    <t>ASSY-MM-Z-5W-GO</t>
  </si>
  <si>
    <t>ASSY-MM-Z-6W-GO</t>
  </si>
  <si>
    <t>ASSY-MM-Z-7W-GO</t>
  </si>
  <si>
    <t>ASSY-MM-Z-8W-GO</t>
  </si>
  <si>
    <t>ASSY-MM-Z-1W-NG</t>
  </si>
  <si>
    <t>ASSY-MM-Z-2W-NG</t>
  </si>
  <si>
    <t>ASSY-MM-Z-3W-NG</t>
  </si>
  <si>
    <t>ASSY-MM-Z-4W-NG</t>
  </si>
  <si>
    <t>ASSY-MM-Z-5W-NG</t>
  </si>
  <si>
    <t>ASSY-MM-Z-6W-NG</t>
  </si>
  <si>
    <t>ASSY-MM-Z-7W-NG</t>
  </si>
  <si>
    <t>ASSY-MM-Z-8W-NG</t>
  </si>
  <si>
    <t>ASSY-MM-Z-1WDE</t>
  </si>
  <si>
    <t>ASSY-MM-Z-2WDE</t>
  </si>
  <si>
    <t>ASSY-MM-Z-3WDE</t>
  </si>
  <si>
    <t>ASSY-MM-Z-4WDE</t>
  </si>
  <si>
    <t>ASSY-MM-Z-5WDE</t>
  </si>
  <si>
    <t>ASSY-MM-Z-6WDE</t>
  </si>
  <si>
    <t>ASSY-MM-Z-7WDE</t>
  </si>
  <si>
    <t>ASSY-MM-Z-8WDE</t>
  </si>
  <si>
    <t>ASSY-X-1W-GO</t>
  </si>
  <si>
    <t>ASSY-X-2W-GO</t>
  </si>
  <si>
    <t>ASSY-X-3W-GO</t>
  </si>
  <si>
    <t>ASSY-X-4W-GO</t>
  </si>
  <si>
    <t>ASSY-X-5W-GO</t>
  </si>
  <si>
    <t>ASSY-X-6W-GO</t>
  </si>
  <si>
    <t>ASSY-X-7W-GO</t>
  </si>
  <si>
    <t>ASSY-X-8W-GO</t>
  </si>
  <si>
    <t>ASSY-X-1W-NG</t>
  </si>
  <si>
    <t>ASSY-X-2W-NG</t>
  </si>
  <si>
    <t>ASSY-X-3W-NG</t>
  </si>
  <si>
    <t>ASSY-X-4W-NG</t>
  </si>
  <si>
    <t>ASSY-X-5W-NG</t>
  </si>
  <si>
    <t>ASSY-X-6W-NG</t>
  </si>
  <si>
    <t>ASSY-X-7W-NG</t>
  </si>
  <si>
    <t>ASSY-X-8W-NG</t>
  </si>
  <si>
    <t>ASSY-MM-X-1W-GO</t>
  </si>
  <si>
    <t>ASSY-MM-X-2W-GO</t>
  </si>
  <si>
    <t>ASSY-MM-X-3W-GO</t>
  </si>
  <si>
    <t>ASSY-MM-X-4W-GO</t>
  </si>
  <si>
    <t>ASSY-MM-X-5W-GO</t>
  </si>
  <si>
    <t>ASSY-MM-X-6W-GO</t>
  </si>
  <si>
    <t>ASSY-MM-X-7W-GO</t>
  </si>
  <si>
    <t>ASSY-MM-X-8W-GO</t>
  </si>
  <si>
    <t>ASSY-MM-X-1W-NG</t>
  </si>
  <si>
    <t>ASSY-MM-X-2W-NG</t>
  </si>
  <si>
    <t>ASSY-MM-X-3W-NG</t>
  </si>
  <si>
    <t>ASSY-MM-X-4W-NG</t>
  </si>
  <si>
    <t>ASSY-MM-X-5W-NG</t>
  </si>
  <si>
    <t>ASSY-MM-X-6W-NG</t>
  </si>
  <si>
    <t>ASSY-MM-X-7W-NG</t>
  </si>
  <si>
    <t>ASSY-MM-X-8W-NG</t>
  </si>
  <si>
    <t>ASSY-XX-1W-GO</t>
  </si>
  <si>
    <t>ASSY-XX-2W-GO</t>
  </si>
  <si>
    <t>ASSY-XX-3W-GO</t>
  </si>
  <si>
    <t>ASSY-XX-4W-GO</t>
  </si>
  <si>
    <t>ASSY-XX-5W-GO</t>
  </si>
  <si>
    <t>ASSY-XX-6W-GO</t>
  </si>
  <si>
    <t>ASSY-XX-7W-GO</t>
  </si>
  <si>
    <t>ASSY-XX-8W-GO</t>
  </si>
  <si>
    <t>ASSY-XX-1W-NG</t>
  </si>
  <si>
    <t>ASSY-XX-2W-NG</t>
  </si>
  <si>
    <t>ASSY-XX-3W-NG</t>
  </si>
  <si>
    <t>ASSY-XX-4W-NG</t>
  </si>
  <si>
    <t>ASSY-XX-5W-NG</t>
  </si>
  <si>
    <t>ASSY-XX-6W-NG</t>
  </si>
  <si>
    <t>ASSY-XX-7W-NG</t>
  </si>
  <si>
    <t>ASSY-XX-8W-NG</t>
  </si>
  <si>
    <t>ASSY-MM-XX-1W-GO</t>
  </si>
  <si>
    <t>ASSY-MM-XX-2W-GO</t>
  </si>
  <si>
    <t>ASSY-MM-XX-3W-GO</t>
  </si>
  <si>
    <t>ASSY-MM-XX-4W-GO</t>
  </si>
  <si>
    <t>ASSY-MM-XX-5W-GO</t>
  </si>
  <si>
    <t>ASSY-MM-XX-6W-GO</t>
  </si>
  <si>
    <t>ASSY-MM-XX-7W-GO</t>
  </si>
  <si>
    <t>ASSY-MM-XX-8W-GO</t>
  </si>
  <si>
    <t>ASSY-MM-XX-1W-NG</t>
  </si>
  <si>
    <t>ASSY-MM-XX-2W-NG</t>
  </si>
  <si>
    <t>ASSY-MM-XX-3W-NG</t>
  </si>
  <si>
    <t>ASSY-MM-XX-4W-NG</t>
  </si>
  <si>
    <t>ASSY-MM-XX-5W-NG</t>
  </si>
  <si>
    <t>ASSY-MM-XX-6W-NG</t>
  </si>
  <si>
    <t>ASSY-MM-XX-7W-NG</t>
  </si>
  <si>
    <t>ASSY-MM-XX-8W-NG</t>
  </si>
  <si>
    <t>ASSY-Z-1WDE</t>
  </si>
  <si>
    <t>ASSY-Z-2WDE</t>
  </si>
  <si>
    <t>ASSY-Z-3WDE</t>
  </si>
  <si>
    <t>ASSY-Z-4WDE</t>
  </si>
  <si>
    <t>ASSY-Z-5WDE</t>
  </si>
  <si>
    <t>ASSY-Z-6WDE</t>
  </si>
  <si>
    <t>ASSY-Z-7WDE</t>
  </si>
  <si>
    <t>ASSY-Z-8WDE</t>
  </si>
  <si>
    <t>ASSY-X-1WDE</t>
  </si>
  <si>
    <t>ASSY-X-2WDE</t>
  </si>
  <si>
    <t>ASSY-X-3WDE</t>
  </si>
  <si>
    <t>ASSY-X-4WDE</t>
  </si>
  <si>
    <t>ASSY-X-5WDE</t>
  </si>
  <si>
    <t>ASSY-X-6WDE</t>
  </si>
  <si>
    <t>ASSY-X-7WDE</t>
  </si>
  <si>
    <t>ASSY-X-8WDE</t>
  </si>
  <si>
    <t>ASSY-XX-1WDE</t>
  </si>
  <si>
    <t>ASSY-XX-2WDE</t>
  </si>
  <si>
    <t>ASSY-XX-3WDE</t>
  </si>
  <si>
    <t>ASSY-XX-4WDE</t>
  </si>
  <si>
    <t>ASSY-XX-5WDE</t>
  </si>
  <si>
    <t>ASSY-XX-6WDE</t>
  </si>
  <si>
    <t>ASSY-XX-7WDE</t>
  </si>
  <si>
    <t>ASSY-XX-8WDE</t>
  </si>
  <si>
    <t>ASSY-MM-X-1WDE</t>
  </si>
  <si>
    <t>ASSY-MM-X-2WDE</t>
  </si>
  <si>
    <t>ASSY-MM-X-3WDE</t>
  </si>
  <si>
    <t>ASSY-MM-X-4WDE</t>
  </si>
  <si>
    <t>ASSY-MM-X-5WDE</t>
  </si>
  <si>
    <t>ASSY-MM-X-6WDE</t>
  </si>
  <si>
    <t>ASSY-MM-X-7WDE</t>
  </si>
  <si>
    <t>ASSY-MM-X-8WDE</t>
  </si>
  <si>
    <t>ASSY-MM-XX-1WDE</t>
  </si>
  <si>
    <t>ASSY-MM-XX-2WDE</t>
  </si>
  <si>
    <t>ASSY-MM-XX-3WDE</t>
  </si>
  <si>
    <t>ASSY-MM-XX-4WDE</t>
  </si>
  <si>
    <t>ASSY-MM-XX-5WDE</t>
  </si>
  <si>
    <t>ASSY-MM-XX-6WDE</t>
  </si>
  <si>
    <t>ASSY-MM-XX-7WDE</t>
  </si>
  <si>
    <t>ASSY-MM-XX-8WDE</t>
  </si>
  <si>
    <t>ASSY-TP-XX-1-GO</t>
  </si>
  <si>
    <t>ASSY-TP-XX-2-GO</t>
  </si>
  <si>
    <t>ASSY-TP-XX-3-GO</t>
  </si>
  <si>
    <t>ASSY-TP-XX-4-GO</t>
  </si>
  <si>
    <t>ASSY-TP-XX-5-GO</t>
  </si>
  <si>
    <t>ASSY-TP-XX-1-NG</t>
  </si>
  <si>
    <t>ASSY-TP-XX-2-NG</t>
  </si>
  <si>
    <t>ASSY-TP-XX-3-NG</t>
  </si>
  <si>
    <t>ASSY-TP-XX-4-NG</t>
  </si>
  <si>
    <t>ASSY-TP-XX-5-NG</t>
  </si>
  <si>
    <t>ASSY-TP-XX-1</t>
  </si>
  <si>
    <t>ASSY-TP-XX-2</t>
  </si>
  <si>
    <t>ASSY-TP-XX-3</t>
  </si>
  <si>
    <t>ASSY-TP-XX-4</t>
  </si>
  <si>
    <t>ASSY-TP-XX-5</t>
  </si>
  <si>
    <t>Item IDs: Taperlock Assys.</t>
  </si>
  <si>
    <t>Taperlock Assys.</t>
  </si>
  <si>
    <t>ASSY-TP-X-1-GO</t>
  </si>
  <si>
    <t>ASSY-TP-X-2-GO</t>
  </si>
  <si>
    <t>ASSY-TP-X-3-GO</t>
  </si>
  <si>
    <t>ASSY-TP-X-4-GO</t>
  </si>
  <si>
    <t>ASSY-TP-X-5-GO</t>
  </si>
  <si>
    <t>ASSY-TP-X-1-NG</t>
  </si>
  <si>
    <t>ASSY-TP-X-2-NG</t>
  </si>
  <si>
    <t>ASSY-TP-X-3-NG</t>
  </si>
  <si>
    <t>ASSY-TP-X-4-NG</t>
  </si>
  <si>
    <t>ASSY-TP-X-5-NG</t>
  </si>
  <si>
    <t>ASSY-TP-X-1</t>
  </si>
  <si>
    <t>ASSY-TP-X-2</t>
  </si>
  <si>
    <t>ASSY-TP-X-3</t>
  </si>
  <si>
    <t>ASSY-TP-X-4</t>
  </si>
  <si>
    <t>ASSY-TP-X-5</t>
  </si>
  <si>
    <t>ASSY-TP-Y-1-GO</t>
  </si>
  <si>
    <t>ASSY-TP-Y-2-GO</t>
  </si>
  <si>
    <t>ASSY-TP-Y-3-GO</t>
  </si>
  <si>
    <t>ASSY-TP-Y-4-GO</t>
  </si>
  <si>
    <t>ASSY-TP-Y-5-GO</t>
  </si>
  <si>
    <t>ASSY-TP-Y-1-NG</t>
  </si>
  <si>
    <t>ASSY-TP-Y-2-NG</t>
  </si>
  <si>
    <t>ASSY-TP-Y-3-NG</t>
  </si>
  <si>
    <t>ASSY-TP-Y-4-NG</t>
  </si>
  <si>
    <t>ASSY-TP-Y-5-NG</t>
  </si>
  <si>
    <t>ASSY-TP-Y-1</t>
  </si>
  <si>
    <t>ASSY-TP-Y-2</t>
  </si>
  <si>
    <t>ASSY-TP-Y-3</t>
  </si>
  <si>
    <t>ASSY-TP-Y-4</t>
  </si>
  <si>
    <t>ASSY-TP-Y-5</t>
  </si>
  <si>
    <t>ASSY-TP-Z-1-GO</t>
  </si>
  <si>
    <t>ASSY-TP-Z-2-GO</t>
  </si>
  <si>
    <t>ASSY-TP-Z-3-GO</t>
  </si>
  <si>
    <t>ASSY-TP-Z-4-GO</t>
  </si>
  <si>
    <t>ASSY-TP-Z-5-GO</t>
  </si>
  <si>
    <t>ASSY-TP-Z-1-NG</t>
  </si>
  <si>
    <t>ASSY-TP-Z-2-NG</t>
  </si>
  <si>
    <t>ASSY-TP-Z-3-NG</t>
  </si>
  <si>
    <t>ASSY-TP-Z-4-NG</t>
  </si>
  <si>
    <t>ASSY-TP-Z-5-NG</t>
  </si>
  <si>
    <t>ASSY-TP-Z-1</t>
  </si>
  <si>
    <t>ASSY-TP-Z-2</t>
  </si>
  <si>
    <t>ASSY-TP-Z-3</t>
  </si>
  <si>
    <t>ASSY-TP-Z-4</t>
  </si>
  <si>
    <t>ASSY-TP-Z-5</t>
  </si>
  <si>
    <t>Trilock Assys.</t>
  </si>
  <si>
    <t>Item IDs: Trilock Assys.</t>
  </si>
  <si>
    <t>ASSY-TR-XX-2.5-GO</t>
  </si>
  <si>
    <t>ASSY-TR-XX-3.5-GO</t>
  </si>
  <si>
    <t>ASSY-TR-XX-4.5-GO</t>
  </si>
  <si>
    <t>ASSY-TR-XX-5.5-GO</t>
  </si>
  <si>
    <t>ASSY-TR-XX-6-GO</t>
  </si>
  <si>
    <t>ASSY-TR-XX-7A-GO</t>
  </si>
  <si>
    <t>ASSY-TR-XX-7B-GO</t>
  </si>
  <si>
    <t>ASSY-TR-XX-2.5-NG</t>
  </si>
  <si>
    <t>ASSY-TR-XX-3.5-NG</t>
  </si>
  <si>
    <t>ASSY-TR-XX-4.5-NG</t>
  </si>
  <si>
    <t>ASSY-TR-XX-5.5-NG</t>
  </si>
  <si>
    <t>ASSY-TR-XX-6-NG</t>
  </si>
  <si>
    <t>ASSY-TR-XX-7A-NG</t>
  </si>
  <si>
    <t>ASSY-TR-XX-7B-NG</t>
  </si>
  <si>
    <t>ASSY-TR-XX-2.5</t>
  </si>
  <si>
    <t>ASSY-TR-XX-3.5</t>
  </si>
  <si>
    <t>ASSY-TR-XX-4.5</t>
  </si>
  <si>
    <t>ASSY-TR-XX-5.5</t>
  </si>
  <si>
    <t>ASSY-TR-XX-6</t>
  </si>
  <si>
    <t>ASSY-TR-XX-7A</t>
  </si>
  <si>
    <t>ASSY-TR-XX-7B</t>
  </si>
  <si>
    <t>ASSY-TR-X-2.5-GO</t>
  </si>
  <si>
    <t>ASSY-TR-X-3.5-GO</t>
  </si>
  <si>
    <t>ASSY-TR-X-4.5-GO</t>
  </si>
  <si>
    <t>ASSY-TR-X-5.5-GO</t>
  </si>
  <si>
    <t>ASSY-TR-X-6-GO</t>
  </si>
  <si>
    <t>ASSY-TR-X-7A-GO</t>
  </si>
  <si>
    <t>ASSY-TR-X-7B-GO</t>
  </si>
  <si>
    <t>ASSY-TR-X-2.5-NG</t>
  </si>
  <si>
    <t>ASSY-TR-X-3.5-NG</t>
  </si>
  <si>
    <t>ASSY-TR-X-4.5-NG</t>
  </si>
  <si>
    <t>ASSY-TR-X-5.5-NG</t>
  </si>
  <si>
    <t>ASSY-TR-X-6-NG</t>
  </si>
  <si>
    <t>ASSY-TR-X-7A-NG</t>
  </si>
  <si>
    <t>ASSY-TR-X-7B-NG</t>
  </si>
  <si>
    <t>ASSY-TR-X-2.5</t>
  </si>
  <si>
    <t>ASSY-TR-X-3.5</t>
  </si>
  <si>
    <t>ASSY-TR-X-4.5</t>
  </si>
  <si>
    <t>ASSY-TR-X-5.5</t>
  </si>
  <si>
    <t>ASSY-TR-X-6</t>
  </si>
  <si>
    <t>ASSY-TR-X-7A</t>
  </si>
  <si>
    <t>ASSY-TR-X-7B</t>
  </si>
  <si>
    <t>ASSY-TR-Y-2.5-GO</t>
  </si>
  <si>
    <t>ASSY-TR-Y-3.5-GO</t>
  </si>
  <si>
    <t>ASSY-TR-Y-4.5-GO</t>
  </si>
  <si>
    <t>ASSY-TR-Y-5.5-GO</t>
  </si>
  <si>
    <t>ASSY-TR-Y-6-GO</t>
  </si>
  <si>
    <t>ASSY-TR-Y-7A-GO</t>
  </si>
  <si>
    <t>ASSY-TR-Y-7B-GO</t>
  </si>
  <si>
    <t>ASSY-TR-Y-2.5-NG</t>
  </si>
  <si>
    <t>ASSY-TR-Y-3.5-NG</t>
  </si>
  <si>
    <t>ASSY-TR-Y-4.5-NG</t>
  </si>
  <si>
    <t>ASSY-TR-Y-5.5-NG</t>
  </si>
  <si>
    <t>ASSY-TR-Y-6-NG</t>
  </si>
  <si>
    <t>ASSY-TR-Y-7A-NG</t>
  </si>
  <si>
    <t>ASSY-TR-Y-7B-NG</t>
  </si>
  <si>
    <t>ASSY-TR-Y-2.5</t>
  </si>
  <si>
    <t>ASSY-TR-Y-3.5</t>
  </si>
  <si>
    <t>ASSY-TR-Y-4.5</t>
  </si>
  <si>
    <t>ASSY-TR-Y-5.5</t>
  </si>
  <si>
    <t>ASSY-TR-Y-6</t>
  </si>
  <si>
    <t>ASSY-TR-Y-7A</t>
  </si>
  <si>
    <t>ASSY-TR-Y-7B</t>
  </si>
  <si>
    <t>ASSY-TR-Z-2.5-GO</t>
  </si>
  <si>
    <t>ASSY-TR-Z-3.5-GO</t>
  </si>
  <si>
    <t>ASSY-TR-Z-4.5-GO</t>
  </si>
  <si>
    <t>ASSY-TR-Z-5.5-GO</t>
  </si>
  <si>
    <t>ASSY-TR-Z-6-GO</t>
  </si>
  <si>
    <t>ASSY-TR-Z-7A-GO</t>
  </si>
  <si>
    <t>ASSY-TR-Z-7B-GO</t>
  </si>
  <si>
    <t>ASSY-TR-Z-2.5-NG</t>
  </si>
  <si>
    <t>ASSY-TR-Z-3.5-NG</t>
  </si>
  <si>
    <t>ASSY-TR-Z-4.5-NG</t>
  </si>
  <si>
    <t>ASSY-TR-Z-5.5-NG</t>
  </si>
  <si>
    <t>ASSY-TR-Z-6-NG</t>
  </si>
  <si>
    <t>ASSY-TR-Z-7A-NG</t>
  </si>
  <si>
    <t>ASSY-TR-Z-7B-NG</t>
  </si>
  <si>
    <t>ASSY-TR-Z-2.5</t>
  </si>
  <si>
    <t>ASSY-TR-Z-3.5</t>
  </si>
  <si>
    <t>ASSY-TR-Z-4.5</t>
  </si>
  <si>
    <t>ASSY-TR-Z-5.5</t>
  </si>
  <si>
    <t>ASSY-TR-Z-6</t>
  </si>
  <si>
    <t>ASSY-TR-Z-7A</t>
  </si>
  <si>
    <t>ASSY-TR-Z-7B</t>
  </si>
  <si>
    <t>Progressive Assys.</t>
  </si>
  <si>
    <t>Item IDs: Progressive Assys.</t>
  </si>
  <si>
    <t>ASSY-PRG-XX-1</t>
  </si>
  <si>
    <t>ASSY-PRG-XX-2</t>
  </si>
  <si>
    <t>ASSY-PRG-XX-3</t>
  </si>
  <si>
    <t>ASSY-PRG-XX-4</t>
  </si>
  <si>
    <t>ASSY-PRG-XX-5</t>
  </si>
  <si>
    <t>ASSY-PRG-X-1</t>
  </si>
  <si>
    <t>ASSY-PRG-X-2</t>
  </si>
  <si>
    <t>ASSY-PRG-X-3</t>
  </si>
  <si>
    <t>ASSY-PRG-X-4</t>
  </si>
  <si>
    <t>ASSY-PRG-X-5</t>
  </si>
  <si>
    <t>ASSY-PRG-Y-1</t>
  </si>
  <si>
    <t>ASSY-PRG-Y-2</t>
  </si>
  <si>
    <t>ASSY-PRG-Y-3</t>
  </si>
  <si>
    <t>ASSY-PRG-Y-4</t>
  </si>
  <si>
    <t>ASSY-PRG-Y-5</t>
  </si>
  <si>
    <t>ASSY-PRG-Z-1</t>
  </si>
  <si>
    <t>ASSY-PRG-Z-2</t>
  </si>
  <si>
    <t>ASSY-PRG-Z-3</t>
  </si>
  <si>
    <t>ASSY-PRG-Z-4</t>
  </si>
  <si>
    <t>ASSY-PRG-Z-5</t>
  </si>
  <si>
    <t>L10MM</t>
  </si>
  <si>
    <t>L11MM</t>
  </si>
  <si>
    <t>L20MM</t>
  </si>
  <si>
    <t>L21MM</t>
  </si>
  <si>
    <t>L30MM</t>
  </si>
  <si>
    <t>L31MM</t>
  </si>
  <si>
    <t>Item IDs: Go/NoGo Assemblies</t>
  </si>
  <si>
    <t>Pin Gage Handles</t>
  </si>
  <si>
    <r>
      <rPr>
        <b/>
        <sz val="13"/>
        <color theme="1"/>
        <rFont val="Calibri"/>
        <family val="2"/>
        <scheme val="minor"/>
      </rPr>
      <t>Phone</t>
    </r>
    <r>
      <rPr>
        <sz val="13"/>
        <color theme="1"/>
        <rFont val="Calibri"/>
        <family val="2"/>
        <scheme val="minor"/>
      </rPr>
      <t>:</t>
    </r>
  </si>
  <si>
    <r>
      <rPr>
        <b/>
        <sz val="13"/>
        <color theme="1"/>
        <rFont val="Calibri"/>
        <family val="2"/>
        <scheme val="minor"/>
      </rPr>
      <t>Email</t>
    </r>
    <r>
      <rPr>
        <sz val="13"/>
        <color theme="1"/>
        <rFont val="Calibri"/>
        <family val="2"/>
        <scheme val="minor"/>
      </rPr>
      <t>:</t>
    </r>
  </si>
  <si>
    <t>Progressive Assys</t>
  </si>
  <si>
    <t>Trilock Assys</t>
  </si>
  <si>
    <t>Taperlock Assys</t>
  </si>
  <si>
    <t>A. Item Builds</t>
  </si>
  <si>
    <t>CL. X MG-25 Set, 25-PCS</t>
  </si>
  <si>
    <t>Item Description</t>
  </si>
  <si>
    <t>MG1-25</t>
  </si>
  <si>
    <t>MG2-25</t>
  </si>
  <si>
    <t>MG3-25</t>
  </si>
  <si>
    <t>MG4-25</t>
  </si>
  <si>
    <t>MG5-25</t>
  </si>
  <si>
    <t>MG6-25</t>
  </si>
  <si>
    <t>Set-up new assys in P21</t>
  </si>
  <si>
    <t>Create items in P21 (A.)</t>
  </si>
  <si>
    <t>Meyer Gage Pricing - 9-1-2023</t>
  </si>
  <si>
    <t>Vermont '23 CL. X Custom-Length Pricing</t>
  </si>
  <si>
    <t>Vermont '23 CL. ZZ Custom-Length Pricing</t>
  </si>
  <si>
    <t>MG Pricing - Based on VG '23 Pricing</t>
  </si>
  <si>
    <t>Individual calibration certificates are $15 each.</t>
  </si>
  <si>
    <t>Class ZZ Black Ox (cont.)</t>
  </si>
  <si>
    <t>select * from p21_view_discount_group</t>
  </si>
  <si>
    <t>BBRYER</t>
  </si>
  <si>
    <t>notes</t>
  </si>
  <si>
    <t>Discontinued</t>
  </si>
  <si>
    <t>Discontinued; included Black Ox pins and steel pin gage blanks</t>
  </si>
  <si>
    <t>whole-thousandths</t>
  </si>
  <si>
    <t>ASSY-BLK-ZZ-1W-GO</t>
  </si>
  <si>
    <t>ASSY-BLK-ZZ-2W-GO</t>
  </si>
  <si>
    <t>ASSY-BLK-ZZ-3W-GO</t>
  </si>
  <si>
    <t>ASSY-BLK-ZZ-4W-GO</t>
  </si>
  <si>
    <t>ASSY-BLK-ZZ-5W-GO</t>
  </si>
  <si>
    <t>ASSY-BLK-ZZ-6W-GO</t>
  </si>
  <si>
    <t>ASSY-BLK-ZZ-7W-GO</t>
  </si>
  <si>
    <t>ASSY-BLK-ZZ-1W-NG</t>
  </si>
  <si>
    <t>ASSY-BLK-ZZ-2W-NG</t>
  </si>
  <si>
    <t>ASSY-BLK-ZZ-3W-NG</t>
  </si>
  <si>
    <t>ASSY-BLK-ZZ-4W-NG</t>
  </si>
  <si>
    <t>ASSY-BLK-ZZ-5W-NG</t>
  </si>
  <si>
    <t>ASSY-BLK-ZZ-6W-NG</t>
  </si>
  <si>
    <t>ASSY-BLK-ZZ-7W-NG</t>
  </si>
  <si>
    <t>ASSY-BLK-ZZ-1WDE</t>
  </si>
  <si>
    <t>ASSY-BLK-ZZ-2WDE</t>
  </si>
  <si>
    <t>ASSY-BLK-ZZ-3WDE</t>
  </si>
  <si>
    <t>ASSY-BLK-ZZ-4WDE</t>
  </si>
  <si>
    <t>ASSY-BLK-ZZ-5WDE</t>
  </si>
  <si>
    <t>ASSY-BLK-ZZ-6WDE</t>
  </si>
  <si>
    <t>ASSY-BLK-ZZ-7WDE</t>
  </si>
  <si>
    <t>Custom marking available – $15 per handle flat</t>
  </si>
  <si>
    <t>Clean up product, discount groups</t>
  </si>
  <si>
    <t>Smaller</t>
  </si>
  <si>
    <t>Larger</t>
  </si>
  <si>
    <t>Small Poly Case</t>
  </si>
  <si>
    <t>3/17/2025 Price Increase</t>
  </si>
  <si>
    <t>Calibration -</t>
  </si>
  <si>
    <t>Create/revise other charge items</t>
  </si>
  <si>
    <t>Inspection Equipment Library</t>
  </si>
  <si>
    <t>Freight Charge</t>
  </si>
  <si>
    <t>FREIGHT</t>
  </si>
  <si>
    <t>Priced per Ring Gage</t>
  </si>
  <si>
    <t>Custom Laser Marking, Ring Gage</t>
  </si>
  <si>
    <t>MARKING-RING</t>
  </si>
  <si>
    <t>MARKING FOR RING GAGES ONLY</t>
  </si>
  <si>
    <t>Priced per Handle Flat</t>
  </si>
  <si>
    <t>Custom Laser Marking, Handle</t>
  </si>
  <si>
    <t>MARKING-HANDLE</t>
  </si>
  <si>
    <t>MARKING</t>
  </si>
  <si>
    <t>Restocking Fee</t>
  </si>
  <si>
    <t>RESTOCK-FEE</t>
  </si>
  <si>
    <t>RESTOCKING</t>
  </si>
  <si>
    <t>Minimum Order Charge</t>
  </si>
  <si>
    <t>ORDER-MIN</t>
  </si>
  <si>
    <t>MINIMUM ORDER CHARGE</t>
  </si>
  <si>
    <t>Wire Processing Fee</t>
  </si>
  <si>
    <t>WIRE-FEE</t>
  </si>
  <si>
    <t>WIRE TRANSFER</t>
  </si>
  <si>
    <t>35% of Order Subtotal (net)</t>
  </si>
  <si>
    <t>Expedite Service Charge</t>
  </si>
  <si>
    <t>EXPEDITE-SERVICE</t>
  </si>
  <si>
    <t>PREMIUM FACTORY PROCESSING</t>
  </si>
  <si>
    <t>Extended Description</t>
  </si>
  <si>
    <r>
      <rPr>
        <b/>
        <i/>
        <sz val="11"/>
        <color theme="0"/>
        <rFont val="Calibri"/>
        <family val="2"/>
      </rPr>
      <t>Revised</t>
    </r>
    <r>
      <rPr>
        <b/>
        <sz val="11"/>
        <color theme="0"/>
        <rFont val="Calibri"/>
        <family val="2"/>
      </rPr>
      <t xml:space="preserve"> Item ID</t>
    </r>
  </si>
  <si>
    <t>As of March 17, 2025</t>
  </si>
  <si>
    <t>Order Entry: Other Charge Items</t>
  </si>
  <si>
    <t>REWORK</t>
  </si>
  <si>
    <t>Rework Item</t>
  </si>
  <si>
    <t>MISC-ITEM</t>
  </si>
  <si>
    <t>REPL-ITEM</t>
  </si>
  <si>
    <t>Replacement Item</t>
  </si>
  <si>
    <t>Misc. Item</t>
  </si>
  <si>
    <t>Domestic: $20; Int'l: $50</t>
  </si>
  <si>
    <t>25% of Ext. Price; $20 Min.</t>
  </si>
  <si>
    <t>END-CAP-FEE</t>
  </si>
  <si>
    <t>25% Handle Price Mark-Up</t>
  </si>
  <si>
    <t>Calibration Certificate, Individual Cert</t>
  </si>
  <si>
    <t>CALIBRATION CHARGE</t>
  </si>
  <si>
    <t>D.E. Handle w/ 2 Go or 2 NoGo End Caps</t>
  </si>
  <si>
    <r>
      <rPr>
        <b/>
        <u/>
        <sz val="11"/>
        <color theme="1"/>
        <rFont val="Calibri"/>
        <family val="2"/>
      </rPr>
      <t>Note</t>
    </r>
    <r>
      <rPr>
        <sz val="11"/>
        <color theme="1"/>
        <rFont val="Calibri"/>
        <family val="2"/>
      </rPr>
      <t>: All tabulated item IDs are included in the "OTHER" product group</t>
    </r>
  </si>
  <si>
    <t>MG25-NEW</t>
  </si>
  <si>
    <t>MG25-CUST</t>
  </si>
  <si>
    <t>*Emailed or printed</t>
  </si>
  <si>
    <t>Calibration Certificate, Additional Copy*</t>
  </si>
  <si>
    <t>Additional copies of calibration certificates are $10 each.</t>
  </si>
  <si>
    <t>Item IDs</t>
  </si>
  <si>
    <t>Calibration Certificate, Individual Cert.</t>
  </si>
  <si>
    <t>MG-25 Series</t>
  </si>
  <si>
    <t>CAL-MG25-NEW</t>
  </si>
  <si>
    <t>CAL-MG25-CUST</t>
  </si>
  <si>
    <r>
      <rPr>
        <i/>
        <sz val="11"/>
        <color rgb="FFFF0000"/>
        <rFont val="Calibri"/>
        <family val="2"/>
        <scheme val="minor"/>
      </rPr>
      <t>Red</t>
    </r>
    <r>
      <rPr>
        <i/>
        <sz val="11"/>
        <color theme="1"/>
        <rFont val="Calibri"/>
        <family val="2"/>
        <scheme val="minor"/>
      </rPr>
      <t xml:space="preserve"> font color represents outstanding OldCo item IDs, as of 4/7</t>
    </r>
  </si>
  <si>
    <t>Complete</t>
  </si>
  <si>
    <t>Revise pricing libraries (new discounts); delete class X qty breaks</t>
  </si>
  <si>
    <t>Model No.</t>
  </si>
  <si>
    <t>Item IDs*</t>
  </si>
  <si>
    <r>
      <t xml:space="preserve">*At OE, enter item id </t>
    </r>
    <r>
      <rPr>
        <b/>
        <sz val="11"/>
        <color theme="1"/>
        <rFont val="Calibri"/>
        <family val="2"/>
        <scheme val="minor"/>
      </rPr>
      <t>"CALIBRATION,"</t>
    </r>
    <r>
      <rPr>
        <sz val="11"/>
        <color theme="1"/>
        <rFont val="Calibri"/>
        <family val="2"/>
        <scheme val="minor"/>
      </rPr>
      <t xml:space="preserve"> then add specific calibration item ids as assembly components</t>
    </r>
  </si>
  <si>
    <t>Thread Wire Set</t>
  </si>
  <si>
    <t>Black Ox Go/NoGo Assemblies</t>
  </si>
  <si>
    <t>*Specify inserts by item ID or size range</t>
  </si>
  <si>
    <t>Large Poly Case</t>
  </si>
  <si>
    <t>4-Drawer Metal Cabinet w/ 4 Inserts*</t>
  </si>
  <si>
    <t>MG-25 set pins below .125" are vialed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</si>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</sst>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8">
    <numFmt numFmtId="7" formatCode="&quot;$&quot;#,##0.00_);\(&quot;$&quot;#,##0.00\)"/>
    <numFmt numFmtId="43" formatCode="_(* #,##0.00_);_(* \(#,##0.00\);_(* &quot;-&quot;??_);_(@_)"/>
    <numFmt numFmtId="164" formatCode="0.000#"/>
    <numFmt numFmtId="165" formatCode="0.0000"/>
    <numFmt numFmtId="166" formatCode="0.000"/>
    <numFmt numFmtId="167" formatCode="#.000#"/>
    <numFmt numFmtId="168" formatCode="#\-#/#\'\'"/>
    <numFmt numFmtId="169" formatCode="#\-#/#"/>
    <numFmt numFmtId="170" formatCode="#\-##/##\'\'"/>
    <numFmt numFmtId="171" formatCode="mmmm\ d\,\ yyyy"/>
    <numFmt numFmtId="172" formatCode="&quot;$&quot;#,##0.00;\(&quot;$&quot;\ #,##0.00\);&quot;– &quot;"/>
    <numFmt numFmtId="173" formatCode="_(&quot;$&quot;* #,##0.00;\(&quot;$&quot;\ #,##0.00\);&quot;– &quot;"/>
    <numFmt numFmtId="174" formatCode="#.00"/>
    <numFmt numFmtId="175" formatCode="#.00;#.00;&quot;–&quot;"/>
    <numFmt numFmtId="176" formatCode="#.###"/>
    <numFmt numFmtId="177" formatCode="#.0000"/>
    <numFmt numFmtId="178" formatCode="&quot;Up to &quot;#\'\'"/>
    <numFmt numFmtId="179" formatCode="&quot;$&quot;#,##0.00\ ;\(&quot;$&quot;\ #,##0.00\);&quot;– &quot;"/>
    <numFmt numFmtId="180" formatCode="#.00#"/>
    <numFmt numFmtId="181" formatCode="#\-?/?\'\'"/>
    <numFmt numFmtId="182" formatCode="#.#&quot;mm&quot;"/>
    <numFmt numFmtId="183" formatCode="#.000"/>
    <numFmt numFmtId="184" formatCode="#.0#&quot;mm&quot;"/>
    <numFmt numFmtId="185" formatCode="#,##0.00;\(#,##0.00\);&quot;– &quot;"/>
    <numFmt numFmtId="186" formatCode="0.0%;\(0.0%\);&quot;– &quot;;@_(_%"/>
    <numFmt numFmtId="187" formatCode="#&quot;.&quot;"/>
    <numFmt numFmtId="188" formatCode="#.000##"/>
    <numFmt numFmtId="189" formatCode="#,##0;\(#,##0\);&quot;– &quot;"/>
    <numFmt numFmtId="190" formatCode="#&quot;W&quot;"/>
    <numFmt numFmtId="191" formatCode="#"/>
    <numFmt numFmtId="192" formatCode="#,##0.000;\(#,##0.000\);&quot;– &quot;"/>
    <numFmt numFmtId="193" formatCode="#;#;&quot;–&quot;"/>
    <numFmt numFmtId="194" formatCode="#,##0.0;\(#,##0.0\);&quot;– &quot;"/>
    <numFmt numFmtId="195" formatCode="0%;\(0%\);&quot;– &quot;;@_(_%"/>
    <numFmt numFmtId="196" formatCode="mmm\-d\-yyyy"/>
    <numFmt numFmtId="197" formatCode="&quot;$&quot;##0.00\ ;\(&quot;$&quot;\ #,##0.00\);&quot;– &quot;"/>
    <numFmt numFmtId="198" formatCode="\ @"/>
    <numFmt numFmtId="199" formatCode="#,##0.00\ ;\(#,##0.00\);&quot;–&quot;_;"/>
  </numFmts>
  <fonts count="10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E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E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E1"/>
      <name val="Calibri"/>
      <family val="2"/>
      <scheme val="minor"/>
    </font>
    <font>
      <i/>
      <sz val="11"/>
      <color rgb="FF0000E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rgb="FF0000E1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rgb="FF0000E1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  <scheme val="minor"/>
    </font>
    <font>
      <b/>
      <i/>
      <sz val="12"/>
      <color rgb="FF0000E1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i/>
      <u/>
      <sz val="11"/>
      <color theme="1"/>
      <name val="Calibri"/>
      <family val="2"/>
      <scheme val="minor"/>
    </font>
    <font>
      <sz val="11"/>
      <color rgb="FFED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rgb="FFED0000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sz val="11"/>
      <color rgb="FF0303EB"/>
      <name val="Calibri"/>
      <family val="2"/>
      <scheme val="minor"/>
    </font>
    <font>
      <sz val="11"/>
      <color rgb="FF0000FA"/>
      <name val="Calibri"/>
      <family val="2"/>
      <scheme val="minor"/>
    </font>
    <font>
      <b/>
      <sz val="11"/>
      <color rgb="FF0000FA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14"/>
      <color rgb="FF0000E1"/>
      <name val="Calibri"/>
      <family val="2"/>
      <scheme val="minor"/>
    </font>
    <font>
      <b/>
      <u/>
      <sz val="12"/>
      <color theme="1"/>
      <name val="Calibri"/>
      <family val="2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i/>
      <u/>
      <sz val="11"/>
      <color theme="1"/>
      <name val="Calibri"/>
      <family val="2"/>
    </font>
    <font>
      <b/>
      <sz val="11"/>
      <name val="Calibri"/>
      <family val="2"/>
    </font>
    <font>
      <sz val="11"/>
      <color rgb="FF008000"/>
      <name val="Calibri"/>
      <family val="2"/>
      <scheme val="minor"/>
    </font>
    <font>
      <i/>
      <sz val="11"/>
      <color theme="1"/>
      <name val="Calibri"/>
      <family val="2"/>
    </font>
    <font>
      <b/>
      <sz val="14"/>
      <color rgb="FF0000E1"/>
      <name val="Calibri"/>
      <family val="2"/>
      <scheme val="minor"/>
    </font>
    <font>
      <strike/>
      <sz val="11"/>
      <name val="Calibri"/>
      <family val="2"/>
      <scheme val="minor"/>
    </font>
    <font>
      <i/>
      <sz val="14"/>
      <color rgb="FF0000E1"/>
      <name val="Calibri"/>
      <family val="2"/>
      <scheme val="minor"/>
    </font>
    <font>
      <b/>
      <i/>
      <sz val="14"/>
      <color rgb="FF0000E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E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2"/>
      <color rgb="FFED0000"/>
      <name val="Calibri"/>
      <family val="2"/>
      <scheme val="minor"/>
    </font>
    <font>
      <b/>
      <sz val="11"/>
      <color theme="0"/>
      <name val="Calibri"/>
      <family val="2"/>
    </font>
    <font>
      <strike/>
      <sz val="11"/>
      <color theme="1"/>
      <name val="Calibri"/>
      <family val="2"/>
    </font>
    <font>
      <sz val="11"/>
      <color rgb="FF0303EB"/>
      <name val="Calibri"/>
      <family val="2"/>
    </font>
    <font>
      <i/>
      <sz val="11"/>
      <name val="Calibri"/>
      <family val="2"/>
    </font>
    <font>
      <b/>
      <u val="singleAccounting"/>
      <sz val="11"/>
      <color theme="1"/>
      <name val="Calibri"/>
      <family val="2"/>
    </font>
    <font>
      <b/>
      <i/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1"/>
      <color rgb="FFFFFFFF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0"/>
      <name val="Calibri"/>
      <family val="2"/>
    </font>
    <font>
      <b/>
      <sz val="11"/>
      <color rgb="FF0000E1"/>
      <name val="Calibri"/>
      <family val="2"/>
    </font>
    <font>
      <b/>
      <u/>
      <sz val="11"/>
      <color theme="1"/>
      <name val="Calibri"/>
      <family val="2"/>
    </font>
    <font>
      <b/>
      <sz val="16"/>
      <color theme="1"/>
      <name val="Calibri"/>
      <family val="2"/>
    </font>
    <font>
      <sz val="12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rgb="FFABFFAB"/>
        <bgColor indexed="64"/>
      </patternFill>
    </fill>
    <fill>
      <patternFill patternType="solid">
        <fgColor rgb="FFFFD5FA"/>
        <bgColor indexed="64"/>
      </patternFill>
    </fill>
    <fill>
      <patternFill patternType="solid">
        <fgColor rgb="FFFFDA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30010"/>
        <bgColor indexed="64"/>
      </patternFill>
    </fill>
    <fill>
      <patternFill patternType="darkDown">
        <fgColor rgb="FFDDE8FF"/>
      </patternFill>
    </fill>
    <fill>
      <patternFill patternType="solid">
        <fgColor rgb="FF010B3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theme="1" tint="4.9989318521683403E-2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0" tint="-0.249977111117893"/>
      </top>
      <bottom/>
      <diagonal/>
    </border>
    <border>
      <left style="medium">
        <color indexed="64"/>
      </left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medium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249977111117893"/>
      </top>
      <bottom style="medium">
        <color indexed="64"/>
      </bottom>
      <diagonal/>
    </border>
  </borders>
  <cellStyleXfs count="24">
    <xf numFmtId="0" fontId="0" fillId="0" borderId="0"/>
    <xf numFmtId="43" fontId="17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17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</cellStyleXfs>
  <cellXfs count="1357">
    <xf numFmtId="0" fontId="0" fillId="0" borderId="0" xfId="0"/>
    <xf numFmtId="0" fontId="20" fillId="0" borderId="0" xfId="0" applyFont="1"/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1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2" fontId="21" fillId="0" borderId="0" xfId="0" applyNumberFormat="1" applyFont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/>
    <xf numFmtId="0" fontId="21" fillId="2" borderId="0" xfId="0" applyFont="1" applyFill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Continuous"/>
    </xf>
    <xf numFmtId="0" fontId="19" fillId="0" borderId="0" xfId="0" applyFont="1"/>
    <xf numFmtId="0" fontId="21" fillId="0" borderId="0" xfId="0" applyFont="1" applyAlignment="1">
      <alignment horizontal="center"/>
    </xf>
    <xf numFmtId="0" fontId="0" fillId="0" borderId="0" xfId="0" applyAlignment="1">
      <alignment horizontal="centerContinuous" vertical="center"/>
    </xf>
    <xf numFmtId="0" fontId="28" fillId="0" borderId="0" xfId="0" applyFont="1" applyAlignment="1">
      <alignment horizontal="centerContinuous" vertical="center"/>
    </xf>
    <xf numFmtId="0" fontId="29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30" fillId="0" borderId="0" xfId="0" applyFont="1"/>
    <xf numFmtId="166" fontId="26" fillId="0" borderId="0" xfId="0" applyNumberFormat="1" applyFont="1" applyAlignment="1">
      <alignment horizontal="center"/>
    </xf>
    <xf numFmtId="165" fontId="26" fillId="0" borderId="0" xfId="0" applyNumberFormat="1" applyFont="1" applyAlignment="1">
      <alignment horizontal="left"/>
    </xf>
    <xf numFmtId="2" fontId="26" fillId="0" borderId="0" xfId="0" applyNumberFormat="1" applyFont="1" applyAlignment="1">
      <alignment horizontal="left"/>
    </xf>
    <xf numFmtId="1" fontId="0" fillId="0" borderId="0" xfId="0" applyNumberFormat="1"/>
    <xf numFmtId="166" fontId="30" fillId="0" borderId="0" xfId="0" applyNumberFormat="1" applyFont="1" applyAlignment="1">
      <alignment horizontal="left"/>
    </xf>
    <xf numFmtId="1" fontId="24" fillId="0" borderId="0" xfId="0" applyNumberFormat="1" applyFont="1"/>
    <xf numFmtId="0" fontId="24" fillId="0" borderId="0" xfId="0" applyFont="1" applyAlignment="1">
      <alignment wrapText="1"/>
    </xf>
    <xf numFmtId="0" fontId="18" fillId="0" borderId="0" xfId="0" applyFont="1"/>
    <xf numFmtId="0" fontId="24" fillId="0" borderId="0" xfId="0" applyFont="1" applyAlignment="1">
      <alignment horizontal="center" wrapText="1"/>
    </xf>
    <xf numFmtId="1" fontId="26" fillId="0" borderId="0" xfId="0" applyNumberFormat="1" applyFont="1" applyAlignment="1">
      <alignment horizontal="left"/>
    </xf>
    <xf numFmtId="0" fontId="22" fillId="0" borderId="0" xfId="0" applyFont="1"/>
    <xf numFmtId="0" fontId="0" fillId="0" borderId="0" xfId="0" applyAlignment="1">
      <alignment horizontal="right"/>
    </xf>
    <xf numFmtId="166" fontId="0" fillId="0" borderId="0" xfId="0" applyNumberFormat="1"/>
    <xf numFmtId="166" fontId="21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33" fillId="0" borderId="0" xfId="0" applyFont="1"/>
    <xf numFmtId="0" fontId="0" fillId="0" borderId="0" xfId="0" applyAlignment="1">
      <alignment vertical="top"/>
    </xf>
    <xf numFmtId="166" fontId="28" fillId="0" borderId="0" xfId="0" applyNumberFormat="1" applyFont="1" applyAlignment="1">
      <alignment horizontal="centerContinuous"/>
    </xf>
    <xf numFmtId="0" fontId="23" fillId="0" borderId="0" xfId="0" applyFont="1"/>
    <xf numFmtId="0" fontId="22" fillId="0" borderId="0" xfId="0" quotePrefix="1" applyFont="1" applyAlignment="1">
      <alignment horizontal="center"/>
    </xf>
    <xf numFmtId="0" fontId="36" fillId="0" borderId="0" xfId="0" applyFont="1"/>
    <xf numFmtId="0" fontId="39" fillId="0" borderId="0" xfId="0" applyFont="1"/>
    <xf numFmtId="0" fontId="40" fillId="0" borderId="0" xfId="0" applyFont="1"/>
    <xf numFmtId="0" fontId="18" fillId="0" borderId="0" xfId="0" applyFont="1" applyAlignment="1">
      <alignment horizontal="left"/>
    </xf>
    <xf numFmtId="172" fontId="26" fillId="0" borderId="0" xfId="0" applyNumberFormat="1" applyFont="1" applyAlignment="1">
      <alignment horizontal="center"/>
    </xf>
    <xf numFmtId="0" fontId="35" fillId="0" borderId="0" xfId="0" applyFont="1"/>
    <xf numFmtId="0" fontId="29" fillId="0" borderId="0" xfId="0" applyFont="1"/>
    <xf numFmtId="0" fontId="42" fillId="0" borderId="0" xfId="2"/>
    <xf numFmtId="9" fontId="0" fillId="0" borderId="0" xfId="3" applyFont="1"/>
    <xf numFmtId="0" fontId="45" fillId="0" borderId="0" xfId="2" applyFont="1"/>
    <xf numFmtId="167" fontId="21" fillId="0" borderId="0" xfId="2" applyNumberFormat="1" applyFont="1" applyAlignment="1">
      <alignment horizontal="center"/>
    </xf>
    <xf numFmtId="9" fontId="45" fillId="0" borderId="0" xfId="3" applyFont="1"/>
    <xf numFmtId="174" fontId="21" fillId="0" borderId="0" xfId="2" applyNumberFormat="1" applyFont="1" applyAlignment="1">
      <alignment horizontal="center"/>
    </xf>
    <xf numFmtId="0" fontId="29" fillId="0" borderId="0" xfId="2" applyFont="1" applyAlignment="1">
      <alignment horizontal="left"/>
    </xf>
    <xf numFmtId="0" fontId="42" fillId="0" borderId="0" xfId="2" applyAlignment="1">
      <alignment horizontal="left"/>
    </xf>
    <xf numFmtId="165" fontId="21" fillId="0" borderId="0" xfId="2" applyNumberFormat="1" applyFont="1" applyAlignment="1">
      <alignment horizontal="left"/>
    </xf>
    <xf numFmtId="9" fontId="21" fillId="0" borderId="0" xfId="3" applyFont="1" applyAlignment="1">
      <alignment horizontal="left"/>
    </xf>
    <xf numFmtId="0" fontId="28" fillId="0" borderId="0" xfId="2" applyFont="1" applyAlignment="1">
      <alignment horizontal="centerContinuous" vertical="center"/>
    </xf>
    <xf numFmtId="0" fontId="42" fillId="0" borderId="0" xfId="2" applyAlignment="1">
      <alignment horizontal="centerContinuous" vertical="center"/>
    </xf>
    <xf numFmtId="167" fontId="21" fillId="2" borderId="12" xfId="2" applyNumberFormat="1" applyFont="1" applyFill="1" applyBorder="1" applyAlignment="1">
      <alignment horizontal="center"/>
    </xf>
    <xf numFmtId="9" fontId="0" fillId="0" borderId="0" xfId="3" applyFont="1" applyAlignment="1">
      <alignment horizontal="center"/>
    </xf>
    <xf numFmtId="0" fontId="42" fillId="0" borderId="0" xfId="2" applyAlignment="1">
      <alignment horizontal="center"/>
    </xf>
    <xf numFmtId="167" fontId="22" fillId="0" borderId="0" xfId="2" applyNumberFormat="1" applyFont="1" applyAlignment="1">
      <alignment horizontal="center"/>
    </xf>
    <xf numFmtId="2" fontId="22" fillId="0" borderId="0" xfId="2" applyNumberFormat="1" applyFont="1" applyAlignment="1">
      <alignment horizontal="center"/>
    </xf>
    <xf numFmtId="176" fontId="21" fillId="0" borderId="0" xfId="2" applyNumberFormat="1" applyFont="1" applyAlignment="1">
      <alignment horizontal="center"/>
    </xf>
    <xf numFmtId="166" fontId="21" fillId="2" borderId="12" xfId="2" applyNumberFormat="1" applyFont="1" applyFill="1" applyBorder="1" applyAlignment="1">
      <alignment horizontal="center"/>
    </xf>
    <xf numFmtId="166" fontId="22" fillId="0" borderId="0" xfId="2" applyNumberFormat="1" applyFont="1" applyAlignment="1">
      <alignment horizontal="center"/>
    </xf>
    <xf numFmtId="2" fontId="21" fillId="0" borderId="0" xfId="2" applyNumberFormat="1" applyFont="1" applyAlignment="1">
      <alignment horizontal="right"/>
    </xf>
    <xf numFmtId="0" fontId="0" fillId="0" borderId="0" xfId="0" applyAlignment="1">
      <alignment vertical="center"/>
    </xf>
    <xf numFmtId="0" fontId="17" fillId="0" borderId="0" xfId="4"/>
    <xf numFmtId="0" fontId="22" fillId="0" borderId="0" xfId="4" applyFont="1"/>
    <xf numFmtId="0" fontId="19" fillId="0" borderId="0" xfId="4" applyFont="1"/>
    <xf numFmtId="166" fontId="32" fillId="0" borderId="0" xfId="4" applyNumberFormat="1" applyFont="1" applyAlignment="1">
      <alignment horizontal="left"/>
    </xf>
    <xf numFmtId="0" fontId="21" fillId="0" borderId="0" xfId="4" applyFont="1"/>
    <xf numFmtId="0" fontId="21" fillId="0" borderId="0" xfId="4" applyFont="1" applyAlignment="1">
      <alignment horizontal="left"/>
    </xf>
    <xf numFmtId="0" fontId="49" fillId="0" borderId="0" xfId="4" applyFont="1" applyAlignment="1">
      <alignment horizontal="center" vertical="center"/>
    </xf>
    <xf numFmtId="175" fontId="21" fillId="0" borderId="0" xfId="2" applyNumberFormat="1" applyFont="1" applyAlignment="1">
      <alignment horizontal="right"/>
    </xf>
    <xf numFmtId="0" fontId="17" fillId="0" borderId="0" xfId="4" applyAlignment="1">
      <alignment vertical="center"/>
    </xf>
    <xf numFmtId="0" fontId="22" fillId="0" borderId="0" xfId="4" applyFont="1" applyAlignment="1">
      <alignment vertical="center"/>
    </xf>
    <xf numFmtId="0" fontId="42" fillId="0" borderId="0" xfId="2" applyAlignment="1">
      <alignment vertical="center"/>
    </xf>
    <xf numFmtId="0" fontId="19" fillId="0" borderId="0" xfId="4" applyFont="1" applyAlignment="1">
      <alignment vertical="center"/>
    </xf>
    <xf numFmtId="0" fontId="31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166" fontId="50" fillId="0" borderId="0" xfId="4" applyNumberFormat="1" applyFont="1" applyAlignment="1">
      <alignment horizontal="left"/>
    </xf>
    <xf numFmtId="0" fontId="44" fillId="0" borderId="0" xfId="0" applyFont="1"/>
    <xf numFmtId="0" fontId="42" fillId="0" borderId="0" xfId="0" applyFont="1"/>
    <xf numFmtId="165" fontId="21" fillId="0" borderId="0" xfId="0" applyNumberFormat="1" applyFont="1"/>
    <xf numFmtId="0" fontId="53" fillId="0" borderId="0" xfId="0" applyFont="1"/>
    <xf numFmtId="0" fontId="22" fillId="0" borderId="0" xfId="0" applyFont="1" applyAlignment="1">
      <alignment vertical="center"/>
    </xf>
    <xf numFmtId="167" fontId="21" fillId="0" borderId="0" xfId="0" applyNumberFormat="1" applyFont="1"/>
    <xf numFmtId="180" fontId="21" fillId="0" borderId="0" xfId="0" applyNumberFormat="1" applyFont="1"/>
    <xf numFmtId="9" fontId="21" fillId="0" borderId="0" xfId="6" applyFont="1" applyAlignment="1">
      <alignment horizontal="center"/>
    </xf>
    <xf numFmtId="0" fontId="54" fillId="0" borderId="21" xfId="0" applyFont="1" applyBorder="1" applyAlignment="1">
      <alignment horizontal="centerContinuous" vertical="center"/>
    </xf>
    <xf numFmtId="0" fontId="54" fillId="0" borderId="0" xfId="0" applyFont="1" applyAlignment="1">
      <alignment horizontal="centerContinuous" vertical="center"/>
    </xf>
    <xf numFmtId="0" fontId="54" fillId="0" borderId="14" xfId="0" applyFont="1" applyBorder="1" applyAlignment="1">
      <alignment horizontal="centerContinuous" vertical="center"/>
    </xf>
    <xf numFmtId="0" fontId="19" fillId="0" borderId="11" xfId="0" applyFont="1" applyBorder="1" applyAlignment="1">
      <alignment horizontal="center" vertical="center"/>
    </xf>
    <xf numFmtId="178" fontId="19" fillId="0" borderId="34" xfId="0" applyNumberFormat="1" applyFont="1" applyBorder="1" applyAlignment="1">
      <alignment horizontal="center"/>
    </xf>
    <xf numFmtId="178" fontId="19" fillId="0" borderId="15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172" fontId="22" fillId="0" borderId="21" xfId="0" applyNumberFormat="1" applyFont="1" applyBorder="1" applyAlignment="1">
      <alignment horizontal="right"/>
    </xf>
    <xf numFmtId="0" fontId="0" fillId="0" borderId="19" xfId="0" applyBorder="1" applyAlignment="1">
      <alignment horizontal="center"/>
    </xf>
    <xf numFmtId="172" fontId="22" fillId="0" borderId="21" xfId="0" applyNumberFormat="1" applyFont="1" applyBorder="1" applyAlignment="1">
      <alignment horizontal="center"/>
    </xf>
    <xf numFmtId="172" fontId="22" fillId="0" borderId="14" xfId="0" applyNumberFormat="1" applyFont="1" applyBorder="1" applyAlignment="1">
      <alignment horizontal="center"/>
    </xf>
    <xf numFmtId="0" fontId="0" fillId="0" borderId="6" xfId="0" applyBorder="1" applyAlignment="1">
      <alignment horizontal="centerContinuous"/>
    </xf>
    <xf numFmtId="0" fontId="0" fillId="0" borderId="0" xfId="0" applyAlignment="1">
      <alignment horizontal="centerContinuous"/>
    </xf>
    <xf numFmtId="172" fontId="22" fillId="0" borderId="21" xfId="0" applyNumberFormat="1" applyFont="1" applyBorder="1" applyAlignment="1">
      <alignment horizontal="centerContinuous"/>
    </xf>
    <xf numFmtId="0" fontId="31" fillId="0" borderId="21" xfId="0" applyFont="1" applyBorder="1" applyAlignment="1">
      <alignment horizontal="right"/>
    </xf>
    <xf numFmtId="0" fontId="0" fillId="4" borderId="24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172" fontId="22" fillId="4" borderId="26" xfId="0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Continuous"/>
    </xf>
    <xf numFmtId="172" fontId="22" fillId="4" borderId="21" xfId="0" applyNumberFormat="1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172" fontId="22" fillId="4" borderId="14" xfId="0" applyNumberFormat="1" applyFont="1" applyFill="1" applyBorder="1" applyAlignment="1">
      <alignment horizontal="center"/>
    </xf>
    <xf numFmtId="172" fontId="22" fillId="4" borderId="21" xfId="0" applyNumberFormat="1" applyFont="1" applyFill="1" applyBorder="1" applyAlignment="1">
      <alignment horizontal="centerContinuous"/>
    </xf>
    <xf numFmtId="0" fontId="0" fillId="4" borderId="4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/>
    <xf numFmtId="172" fontId="22" fillId="0" borderId="20" xfId="0" applyNumberFormat="1" applyFont="1" applyBorder="1" applyAlignment="1">
      <alignment horizontal="centerContinuous"/>
    </xf>
    <xf numFmtId="0" fontId="0" fillId="0" borderId="17" xfId="0" applyBorder="1" applyAlignment="1">
      <alignment horizontal="center"/>
    </xf>
    <xf numFmtId="172" fontId="22" fillId="0" borderId="20" xfId="0" applyNumberFormat="1" applyFont="1" applyBorder="1" applyAlignment="1">
      <alignment horizontal="center"/>
    </xf>
    <xf numFmtId="172" fontId="22" fillId="0" borderId="16" xfId="0" applyNumberFormat="1" applyFont="1" applyBorder="1" applyAlignment="1">
      <alignment horizontal="center"/>
    </xf>
    <xf numFmtId="0" fontId="0" fillId="0" borderId="6" xfId="0" applyBorder="1"/>
    <xf numFmtId="0" fontId="55" fillId="0" borderId="0" xfId="0" applyFont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22" fillId="0" borderId="6" xfId="0" applyFont="1" applyBorder="1"/>
    <xf numFmtId="0" fontId="57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left" indent="2"/>
    </xf>
    <xf numFmtId="172" fontId="21" fillId="0" borderId="0" xfId="0" applyNumberFormat="1" applyFont="1" applyAlignment="1">
      <alignment horizontal="center"/>
    </xf>
    <xf numFmtId="0" fontId="22" fillId="0" borderId="6" xfId="0" applyFont="1" applyBorder="1" applyAlignment="1">
      <alignment horizontal="left" indent="1"/>
    </xf>
    <xf numFmtId="0" fontId="31" fillId="0" borderId="6" xfId="0" applyFont="1" applyBorder="1"/>
    <xf numFmtId="0" fontId="0" fillId="0" borderId="4" xfId="0" applyBorder="1"/>
    <xf numFmtId="0" fontId="58" fillId="0" borderId="9" xfId="2" applyFont="1" applyBorder="1" applyAlignment="1">
      <alignment horizontal="centerContinuous"/>
    </xf>
    <xf numFmtId="0" fontId="19" fillId="0" borderId="8" xfId="2" applyFont="1" applyBorder="1" applyAlignment="1">
      <alignment horizontal="centerContinuous"/>
    </xf>
    <xf numFmtId="0" fontId="19" fillId="0" borderId="11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/>
    </xf>
    <xf numFmtId="0" fontId="42" fillId="0" borderId="6" xfId="2" applyBorder="1" applyAlignment="1">
      <alignment horizontal="center"/>
    </xf>
    <xf numFmtId="0" fontId="22" fillId="0" borderId="19" xfId="2" applyFont="1" applyBorder="1" applyAlignment="1">
      <alignment horizontal="center"/>
    </xf>
    <xf numFmtId="172" fontId="21" fillId="0" borderId="14" xfId="0" applyNumberFormat="1" applyFont="1" applyBorder="1" applyAlignment="1">
      <alignment horizontal="center"/>
    </xf>
    <xf numFmtId="0" fontId="42" fillId="4" borderId="27" xfId="2" applyFill="1" applyBorder="1" applyAlignment="1">
      <alignment horizontal="center"/>
    </xf>
    <xf numFmtId="0" fontId="22" fillId="4" borderId="28" xfId="2" applyFont="1" applyFill="1" applyBorder="1" applyAlignment="1">
      <alignment horizontal="center"/>
    </xf>
    <xf numFmtId="0" fontId="31" fillId="0" borderId="11" xfId="0" applyFont="1" applyBorder="1" applyAlignment="1">
      <alignment horizontal="left" vertical="center" wrapText="1"/>
    </xf>
    <xf numFmtId="0" fontId="31" fillId="0" borderId="34" xfId="0" applyFont="1" applyBorder="1" applyAlignment="1">
      <alignment horizontal="centerContinuous" vertical="center" wrapText="1"/>
    </xf>
    <xf numFmtId="0" fontId="31" fillId="0" borderId="18" xfId="0" applyFont="1" applyBorder="1" applyAlignment="1">
      <alignment horizontal="centerContinuous" vertical="center" wrapText="1"/>
    </xf>
    <xf numFmtId="0" fontId="31" fillId="0" borderId="15" xfId="0" applyFont="1" applyBorder="1" applyAlignment="1">
      <alignment horizontal="centerContinuous" vertical="center" wrapText="1"/>
    </xf>
    <xf numFmtId="0" fontId="31" fillId="0" borderId="1" xfId="0" applyFont="1" applyBorder="1" applyAlignment="1">
      <alignment horizontal="centerContinuous" vertical="center" wrapText="1"/>
    </xf>
    <xf numFmtId="0" fontId="31" fillId="0" borderId="10" xfId="0" applyFont="1" applyBorder="1" applyAlignment="1">
      <alignment horizontal="centerContinuous" vertical="center" wrapText="1"/>
    </xf>
    <xf numFmtId="0" fontId="22" fillId="0" borderId="21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1" fontId="22" fillId="0" borderId="19" xfId="0" applyNumberFormat="1" applyFont="1" applyBorder="1" applyAlignment="1">
      <alignment horizontal="center"/>
    </xf>
    <xf numFmtId="179" fontId="22" fillId="0" borderId="22" xfId="0" applyNumberFormat="1" applyFont="1" applyBorder="1" applyAlignment="1">
      <alignment horizontal="right"/>
    </xf>
    <xf numFmtId="179" fontId="22" fillId="0" borderId="14" xfId="0" applyNumberFormat="1" applyFont="1" applyBorder="1" applyAlignment="1">
      <alignment horizontal="right"/>
    </xf>
    <xf numFmtId="0" fontId="42" fillId="4" borderId="39" xfId="2" applyFill="1" applyBorder="1" applyAlignment="1">
      <alignment horizontal="left"/>
    </xf>
    <xf numFmtId="0" fontId="42" fillId="4" borderId="25" xfId="2" applyFill="1" applyBorder="1" applyAlignment="1">
      <alignment horizontal="center"/>
    </xf>
    <xf numFmtId="0" fontId="60" fillId="4" borderId="25" xfId="2" applyFont="1" applyFill="1" applyBorder="1" applyAlignment="1">
      <alignment horizontal="center"/>
    </xf>
    <xf numFmtId="179" fontId="42" fillId="4" borderId="26" xfId="2" applyNumberFormat="1" applyFill="1" applyBorder="1" applyAlignment="1">
      <alignment horizontal="right"/>
    </xf>
    <xf numFmtId="0" fontId="22" fillId="4" borderId="40" xfId="0" applyFont="1" applyFill="1" applyBorder="1"/>
    <xf numFmtId="0" fontId="22" fillId="4" borderId="44" xfId="0" applyFont="1" applyFill="1" applyBorder="1" applyAlignment="1">
      <alignment horizontal="center"/>
    </xf>
    <xf numFmtId="0" fontId="22" fillId="4" borderId="41" xfId="0" applyFont="1" applyFill="1" applyBorder="1" applyAlignment="1">
      <alignment horizontal="center"/>
    </xf>
    <xf numFmtId="1" fontId="22" fillId="4" borderId="41" xfId="0" applyNumberFormat="1" applyFont="1" applyFill="1" applyBorder="1" applyAlignment="1">
      <alignment horizontal="center"/>
    </xf>
    <xf numFmtId="179" fontId="22" fillId="4" borderId="45" xfId="0" applyNumberFormat="1" applyFont="1" applyFill="1" applyBorder="1" applyAlignment="1">
      <alignment horizontal="right"/>
    </xf>
    <xf numFmtId="0" fontId="22" fillId="4" borderId="42" xfId="0" applyFont="1" applyFill="1" applyBorder="1" applyAlignment="1">
      <alignment horizontal="center"/>
    </xf>
    <xf numFmtId="0" fontId="22" fillId="4" borderId="4" xfId="0" applyFont="1" applyFill="1" applyBorder="1"/>
    <xf numFmtId="0" fontId="22" fillId="4" borderId="20" xfId="0" applyFont="1" applyFill="1" applyBorder="1" applyAlignment="1">
      <alignment horizontal="center"/>
    </xf>
    <xf numFmtId="0" fontId="22" fillId="4" borderId="17" xfId="0" applyFont="1" applyFill="1" applyBorder="1" applyAlignment="1">
      <alignment horizontal="center"/>
    </xf>
    <xf numFmtId="1" fontId="22" fillId="4" borderId="17" xfId="0" applyNumberFormat="1" applyFont="1" applyFill="1" applyBorder="1" applyAlignment="1">
      <alignment horizontal="center"/>
    </xf>
    <xf numFmtId="179" fontId="22" fillId="4" borderId="16" xfId="0" applyNumberFormat="1" applyFont="1" applyFill="1" applyBorder="1" applyAlignment="1">
      <alignment horizontal="right"/>
    </xf>
    <xf numFmtId="0" fontId="22" fillId="4" borderId="36" xfId="0" applyFont="1" applyFill="1" applyBorder="1" applyAlignment="1">
      <alignment horizontal="center"/>
    </xf>
    <xf numFmtId="1" fontId="31" fillId="0" borderId="18" xfId="0" applyNumberFormat="1" applyFont="1" applyBorder="1" applyAlignment="1">
      <alignment horizontal="centerContinuous" vertical="center" wrapText="1"/>
    </xf>
    <xf numFmtId="0" fontId="22" fillId="0" borderId="6" xfId="0" applyFont="1" applyBorder="1" applyAlignment="1">
      <alignment horizontal="left"/>
    </xf>
    <xf numFmtId="179" fontId="22" fillId="0" borderId="5" xfId="0" applyNumberFormat="1" applyFont="1" applyBorder="1"/>
    <xf numFmtId="179" fontId="22" fillId="4" borderId="43" xfId="0" applyNumberFormat="1" applyFont="1" applyFill="1" applyBorder="1" applyAlignment="1">
      <alignment horizontal="right"/>
    </xf>
    <xf numFmtId="0" fontId="22" fillId="4" borderId="33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/>
    </xf>
    <xf numFmtId="179" fontId="22" fillId="4" borderId="2" xfId="0" applyNumberFormat="1" applyFont="1" applyFill="1" applyBorder="1" applyAlignment="1">
      <alignment horizontal="right"/>
    </xf>
    <xf numFmtId="0" fontId="22" fillId="0" borderId="0" xfId="0" applyFont="1" applyAlignment="1">
      <alignment horizontal="left"/>
    </xf>
    <xf numFmtId="1" fontId="22" fillId="0" borderId="0" xfId="0" applyNumberFormat="1" applyFont="1"/>
    <xf numFmtId="0" fontId="22" fillId="0" borderId="0" xfId="0" applyFont="1" applyAlignment="1">
      <alignment horizontal="left" indent="1"/>
    </xf>
    <xf numFmtId="1" fontId="31" fillId="0" borderId="34" xfId="0" applyNumberFormat="1" applyFont="1" applyBorder="1" applyAlignment="1">
      <alignment horizontal="centerContinuous" vertical="center" wrapText="1"/>
    </xf>
    <xf numFmtId="0" fontId="0" fillId="0" borderId="0" xfId="0" applyAlignment="1">
      <alignment wrapText="1"/>
    </xf>
    <xf numFmtId="0" fontId="58" fillId="0" borderId="0" xfId="5" applyFont="1" applyAlignment="1">
      <alignment horizontal="centerContinuous" vertical="center"/>
    </xf>
    <xf numFmtId="0" fontId="58" fillId="0" borderId="5" xfId="5" applyFont="1" applyBorder="1" applyAlignment="1">
      <alignment horizontal="centerContinuous" vertical="center"/>
    </xf>
    <xf numFmtId="0" fontId="22" fillId="0" borderId="6" xfId="4" applyFont="1" applyBorder="1" applyAlignment="1">
      <alignment horizontal="center" vertical="center"/>
    </xf>
    <xf numFmtId="0" fontId="22" fillId="0" borderId="21" xfId="4" applyFont="1" applyBorder="1" applyAlignment="1">
      <alignment horizontal="center" vertical="center"/>
    </xf>
    <xf numFmtId="0" fontId="17" fillId="0" borderId="19" xfId="4" applyBorder="1" applyAlignment="1">
      <alignment horizontal="center" vertical="center"/>
    </xf>
    <xf numFmtId="179" fontId="22" fillId="0" borderId="21" xfId="0" applyNumberFormat="1" applyFont="1" applyBorder="1" applyAlignment="1">
      <alignment horizontal="center" vertical="center"/>
    </xf>
    <xf numFmtId="179" fontId="22" fillId="0" borderId="14" xfId="0" applyNumberFormat="1" applyFont="1" applyBorder="1" applyAlignment="1">
      <alignment horizontal="center" vertical="center"/>
    </xf>
    <xf numFmtId="0" fontId="22" fillId="4" borderId="27" xfId="4" applyFont="1" applyFill="1" applyBorder="1" applyAlignment="1">
      <alignment horizontal="center" vertical="center"/>
    </xf>
    <xf numFmtId="0" fontId="22" fillId="4" borderId="46" xfId="4" applyFont="1" applyFill="1" applyBorder="1" applyAlignment="1">
      <alignment horizontal="center" vertical="center"/>
    </xf>
    <xf numFmtId="0" fontId="17" fillId="4" borderId="28" xfId="4" applyFill="1" applyBorder="1" applyAlignment="1">
      <alignment horizontal="center" vertical="center"/>
    </xf>
    <xf numFmtId="179" fontId="22" fillId="4" borderId="28" xfId="2" applyNumberFormat="1" applyFont="1" applyFill="1" applyBorder="1" applyAlignment="1">
      <alignment horizontal="center" vertical="center"/>
    </xf>
    <xf numFmtId="179" fontId="22" fillId="4" borderId="29" xfId="2" applyNumberFormat="1" applyFont="1" applyFill="1" applyBorder="1" applyAlignment="1">
      <alignment horizontal="center" vertical="center"/>
    </xf>
    <xf numFmtId="179" fontId="22" fillId="4" borderId="46" xfId="2" applyNumberFormat="1" applyFont="1" applyFill="1" applyBorder="1" applyAlignment="1">
      <alignment horizontal="center" vertical="center"/>
    </xf>
    <xf numFmtId="0" fontId="22" fillId="4" borderId="30" xfId="4" applyFont="1" applyFill="1" applyBorder="1" applyAlignment="1">
      <alignment horizontal="center" vertical="center"/>
    </xf>
    <xf numFmtId="0" fontId="22" fillId="4" borderId="47" xfId="4" applyFont="1" applyFill="1" applyBorder="1" applyAlignment="1">
      <alignment horizontal="center" vertical="center"/>
    </xf>
    <xf numFmtId="0" fontId="17" fillId="4" borderId="31" xfId="4" applyFill="1" applyBorder="1" applyAlignment="1">
      <alignment horizontal="center" vertical="center"/>
    </xf>
    <xf numFmtId="179" fontId="22" fillId="4" borderId="47" xfId="2" applyNumberFormat="1" applyFont="1" applyFill="1" applyBorder="1" applyAlignment="1">
      <alignment horizontal="center" vertical="center"/>
    </xf>
    <xf numFmtId="179" fontId="22" fillId="4" borderId="32" xfId="2" applyNumberFormat="1" applyFont="1" applyFill="1" applyBorder="1" applyAlignment="1">
      <alignment horizontal="center" vertical="center"/>
    </xf>
    <xf numFmtId="0" fontId="17" fillId="0" borderId="0" xfId="0" applyFont="1"/>
    <xf numFmtId="178" fontId="19" fillId="0" borderId="18" xfId="0" applyNumberFormat="1" applyFont="1" applyBorder="1" applyAlignment="1">
      <alignment horizontal="center" vertical="center"/>
    </xf>
    <xf numFmtId="172" fontId="22" fillId="0" borderId="53" xfId="0" applyNumberFormat="1" applyFont="1" applyBorder="1" applyAlignment="1">
      <alignment horizontal="center" vertical="center"/>
    </xf>
    <xf numFmtId="172" fontId="22" fillId="0" borderId="22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/>
    </xf>
    <xf numFmtId="172" fontId="21" fillId="0" borderId="41" xfId="0" applyNumberFormat="1" applyFont="1" applyBorder="1" applyAlignment="1">
      <alignment horizontal="center" vertical="center"/>
    </xf>
    <xf numFmtId="172" fontId="21" fillId="0" borderId="45" xfId="0" applyNumberFormat="1" applyFont="1" applyBorder="1" applyAlignment="1">
      <alignment horizontal="center" vertical="center"/>
    </xf>
    <xf numFmtId="172" fontId="22" fillId="4" borderId="25" xfId="0" applyNumberFormat="1" applyFont="1" applyFill="1" applyBorder="1" applyAlignment="1">
      <alignment horizontal="center" vertical="center"/>
    </xf>
    <xf numFmtId="172" fontId="22" fillId="4" borderId="26" xfId="0" applyNumberFormat="1" applyFont="1" applyFill="1" applyBorder="1" applyAlignment="1">
      <alignment horizontal="center" vertical="center"/>
    </xf>
    <xf numFmtId="0" fontId="22" fillId="4" borderId="40" xfId="0" applyFont="1" applyFill="1" applyBorder="1" applyAlignment="1">
      <alignment horizontal="center"/>
    </xf>
    <xf numFmtId="172" fontId="21" fillId="4" borderId="41" xfId="0" applyNumberFormat="1" applyFont="1" applyFill="1" applyBorder="1" applyAlignment="1">
      <alignment horizontal="center" vertical="center"/>
    </xf>
    <xf numFmtId="172" fontId="21" fillId="4" borderId="45" xfId="0" applyNumberFormat="1" applyFont="1" applyFill="1" applyBorder="1" applyAlignment="1">
      <alignment horizontal="center" vertical="center"/>
    </xf>
    <xf numFmtId="172" fontId="22" fillId="0" borderId="19" xfId="0" applyNumberFormat="1" applyFont="1" applyBorder="1" applyAlignment="1">
      <alignment horizontal="center" vertical="center"/>
    </xf>
    <xf numFmtId="172" fontId="22" fillId="0" borderId="14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172" fontId="21" fillId="0" borderId="17" xfId="0" applyNumberFormat="1" applyFont="1" applyBorder="1" applyAlignment="1">
      <alignment horizontal="center" vertical="center"/>
    </xf>
    <xf numFmtId="172" fontId="21" fillId="0" borderId="16" xfId="0" applyNumberFormat="1" applyFont="1" applyBorder="1" applyAlignment="1">
      <alignment horizontal="center" vertical="center"/>
    </xf>
    <xf numFmtId="178" fontId="19" fillId="0" borderId="15" xfId="0" applyNumberFormat="1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72" fontId="21" fillId="0" borderId="22" xfId="0" applyNumberFormat="1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172" fontId="21" fillId="4" borderId="53" xfId="0" applyNumberFormat="1" applyFont="1" applyFill="1" applyBorder="1" applyAlignment="1">
      <alignment horizontal="center"/>
    </xf>
    <xf numFmtId="172" fontId="21" fillId="4" borderId="22" xfId="0" applyNumberFormat="1" applyFont="1" applyFill="1" applyBorder="1" applyAlignment="1">
      <alignment horizontal="center"/>
    </xf>
    <xf numFmtId="0" fontId="22" fillId="4" borderId="54" xfId="0" applyFont="1" applyFill="1" applyBorder="1" applyAlignment="1">
      <alignment horizontal="center"/>
    </xf>
    <xf numFmtId="0" fontId="0" fillId="4" borderId="19" xfId="0" applyFill="1" applyBorder="1" applyAlignment="1">
      <alignment horizontal="center" vertical="center"/>
    </xf>
    <xf numFmtId="172" fontId="21" fillId="4" borderId="19" xfId="0" applyNumberFormat="1" applyFont="1" applyFill="1" applyBorder="1" applyAlignment="1">
      <alignment horizontal="center"/>
    </xf>
    <xf numFmtId="172" fontId="21" fillId="4" borderId="14" xfId="0" applyNumberFormat="1" applyFont="1" applyFill="1" applyBorder="1" applyAlignment="1">
      <alignment horizontal="center"/>
    </xf>
    <xf numFmtId="0" fontId="0" fillId="4" borderId="55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22" fillId="0" borderId="54" xfId="0" applyFont="1" applyBorder="1" applyAlignment="1">
      <alignment horizontal="center"/>
    </xf>
    <xf numFmtId="0" fontId="22" fillId="4" borderId="54" xfId="0" applyFont="1" applyFill="1" applyBorder="1" applyAlignment="1">
      <alignment horizontal="center" vertical="top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2" fontId="21" fillId="0" borderId="16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167" fontId="0" fillId="0" borderId="0" xfId="0" applyNumberFormat="1"/>
    <xf numFmtId="0" fontId="42" fillId="0" borderId="0" xfId="0" applyFont="1" applyAlignment="1">
      <alignment horizontal="center"/>
    </xf>
    <xf numFmtId="2" fontId="22" fillId="0" borderId="0" xfId="0" applyNumberFormat="1" applyFont="1" applyAlignment="1">
      <alignment horizontal="center"/>
    </xf>
    <xf numFmtId="181" fontId="22" fillId="0" borderId="21" xfId="0" applyNumberFormat="1" applyFont="1" applyBorder="1" applyAlignment="1">
      <alignment horizontal="center"/>
    </xf>
    <xf numFmtId="183" fontId="21" fillId="0" borderId="0" xfId="0" applyNumberFormat="1" applyFont="1"/>
    <xf numFmtId="184" fontId="22" fillId="4" borderId="21" xfId="0" applyNumberFormat="1" applyFont="1" applyFill="1" applyBorder="1" applyAlignment="1">
      <alignment horizontal="centerContinuous"/>
    </xf>
    <xf numFmtId="181" fontId="22" fillId="4" borderId="21" xfId="0" applyNumberFormat="1" applyFont="1" applyFill="1" applyBorder="1" applyAlignment="1">
      <alignment horizontal="center"/>
    </xf>
    <xf numFmtId="168" fontId="22" fillId="0" borderId="21" xfId="0" applyNumberFormat="1" applyFont="1" applyBorder="1" applyAlignment="1">
      <alignment horizontal="center"/>
    </xf>
    <xf numFmtId="168" fontId="22" fillId="4" borderId="21" xfId="0" applyNumberFormat="1" applyFont="1" applyFill="1" applyBorder="1" applyAlignment="1">
      <alignment horizontal="center"/>
    </xf>
    <xf numFmtId="184" fontId="22" fillId="0" borderId="21" xfId="0" applyNumberFormat="1" applyFont="1" applyBorder="1" applyAlignment="1">
      <alignment horizontal="centerContinuous"/>
    </xf>
    <xf numFmtId="2" fontId="21" fillId="2" borderId="57" xfId="0" applyNumberFormat="1" applyFont="1" applyFill="1" applyBorder="1" applyAlignment="1">
      <alignment horizontal="center"/>
    </xf>
    <xf numFmtId="169" fontId="21" fillId="0" borderId="0" xfId="0" applyNumberFormat="1" applyFont="1" applyAlignment="1">
      <alignment horizontal="center" vertical="center"/>
    </xf>
    <xf numFmtId="2" fontId="21" fillId="2" borderId="58" xfId="0" applyNumberFormat="1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21" fillId="0" borderId="1" xfId="0" applyNumberFormat="1" applyFont="1" applyBorder="1"/>
    <xf numFmtId="2" fontId="22" fillId="0" borderId="1" xfId="0" applyNumberFormat="1" applyFont="1" applyBorder="1" applyAlignment="1">
      <alignment horizontal="center"/>
    </xf>
    <xf numFmtId="0" fontId="22" fillId="0" borderId="21" xfId="0" applyFont="1" applyBorder="1" applyAlignment="1">
      <alignment horizontal="centerContinuous"/>
    </xf>
    <xf numFmtId="172" fontId="31" fillId="0" borderId="21" xfId="0" applyNumberFormat="1" applyFont="1" applyBorder="1" applyAlignment="1">
      <alignment horizontal="right"/>
    </xf>
    <xf numFmtId="0" fontId="22" fillId="4" borderId="21" xfId="0" applyFont="1" applyFill="1" applyBorder="1" applyAlignment="1">
      <alignment horizontal="centerContinuous"/>
    </xf>
    <xf numFmtId="0" fontId="19" fillId="0" borderId="14" xfId="0" applyFont="1" applyBorder="1" applyAlignment="1">
      <alignment horizontal="center"/>
    </xf>
    <xf numFmtId="165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top"/>
    </xf>
    <xf numFmtId="165" fontId="21" fillId="0" borderId="0" xfId="0" applyNumberFormat="1" applyFont="1" applyAlignment="1">
      <alignment vertical="top"/>
    </xf>
    <xf numFmtId="0" fontId="22" fillId="4" borderId="28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22" fillId="4" borderId="27" xfId="0" applyFont="1" applyFill="1" applyBorder="1"/>
    <xf numFmtId="0" fontId="22" fillId="4" borderId="30" xfId="0" applyFont="1" applyFill="1" applyBorder="1"/>
    <xf numFmtId="0" fontId="22" fillId="4" borderId="31" xfId="0" applyFont="1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1" fontId="21" fillId="0" borderId="0" xfId="0" applyNumberFormat="1" applyFont="1" applyAlignment="1">
      <alignment horizontal="center" vertical="top"/>
    </xf>
    <xf numFmtId="1" fontId="0" fillId="0" borderId="0" xfId="0" applyNumberFormat="1" applyAlignment="1">
      <alignment horizontal="center" vertical="top"/>
    </xf>
    <xf numFmtId="1" fontId="2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72" fontId="22" fillId="4" borderId="23" xfId="0" applyNumberFormat="1" applyFont="1" applyFill="1" applyBorder="1" applyAlignment="1">
      <alignment horizontal="center"/>
    </xf>
    <xf numFmtId="172" fontId="22" fillId="4" borderId="33" xfId="0" applyNumberFormat="1" applyFont="1" applyFill="1" applyBorder="1" applyAlignment="1">
      <alignment horizontal="center"/>
    </xf>
    <xf numFmtId="172" fontId="22" fillId="0" borderId="0" xfId="0" applyNumberFormat="1" applyFont="1" applyAlignment="1">
      <alignment horizontal="center"/>
    </xf>
    <xf numFmtId="0" fontId="22" fillId="4" borderId="4" xfId="0" applyFont="1" applyFill="1" applyBorder="1" applyAlignment="1">
      <alignment horizontal="center"/>
    </xf>
    <xf numFmtId="0" fontId="61" fillId="4" borderId="24" xfId="0" applyFont="1" applyFill="1" applyBorder="1" applyAlignment="1">
      <alignment horizontal="center"/>
    </xf>
    <xf numFmtId="172" fontId="22" fillId="0" borderId="5" xfId="0" applyNumberFormat="1" applyFont="1" applyBorder="1" applyAlignment="1">
      <alignment horizontal="center"/>
    </xf>
    <xf numFmtId="172" fontId="22" fillId="4" borderId="5" xfId="0" applyNumberFormat="1" applyFont="1" applyFill="1" applyBorder="1" applyAlignment="1">
      <alignment horizontal="center"/>
    </xf>
    <xf numFmtId="0" fontId="62" fillId="0" borderId="0" xfId="0" applyFont="1"/>
    <xf numFmtId="0" fontId="43" fillId="0" borderId="0" xfId="2" applyFont="1" applyAlignment="1">
      <alignment horizontal="center"/>
    </xf>
    <xf numFmtId="0" fontId="64" fillId="0" borderId="0" xfId="0" applyFont="1"/>
    <xf numFmtId="185" fontId="21" fillId="0" borderId="0" xfId="2" applyNumberFormat="1" applyFont="1" applyAlignment="1">
      <alignment horizontal="center"/>
    </xf>
    <xf numFmtId="0" fontId="31" fillId="0" borderId="11" xfId="0" applyFont="1" applyBorder="1" applyAlignment="1">
      <alignment vertical="center"/>
    </xf>
    <xf numFmtId="0" fontId="19" fillId="0" borderId="10" xfId="0" applyFont="1" applyBorder="1" applyAlignment="1">
      <alignment horizontal="center"/>
    </xf>
    <xf numFmtId="0" fontId="31" fillId="0" borderId="18" xfId="0" applyFont="1" applyBorder="1" applyAlignment="1">
      <alignment horizontal="left" vertical="center"/>
    </xf>
    <xf numFmtId="0" fontId="22" fillId="0" borderId="19" xfId="0" applyFont="1" applyBorder="1"/>
    <xf numFmtId="0" fontId="22" fillId="4" borderId="28" xfId="0" applyFont="1" applyFill="1" applyBorder="1"/>
    <xf numFmtId="0" fontId="22" fillId="4" borderId="31" xfId="0" applyFont="1" applyFill="1" applyBorder="1"/>
    <xf numFmtId="0" fontId="65" fillId="0" borderId="64" xfId="0" applyFont="1" applyBorder="1" applyAlignment="1">
      <alignment horizontal="centerContinuous"/>
    </xf>
    <xf numFmtId="0" fontId="61" fillId="0" borderId="63" xfId="0" applyFont="1" applyBorder="1" applyAlignment="1">
      <alignment horizontal="centerContinuous"/>
    </xf>
    <xf numFmtId="0" fontId="31" fillId="0" borderId="21" xfId="0" applyFont="1" applyBorder="1" applyAlignment="1">
      <alignment horizontal="centerContinuous"/>
    </xf>
    <xf numFmtId="0" fontId="54" fillId="0" borderId="52" xfId="0" applyFont="1" applyBorder="1" applyAlignment="1">
      <alignment horizontal="centerContinuous"/>
    </xf>
    <xf numFmtId="0" fontId="31" fillId="0" borderId="0" xfId="0" applyFont="1" applyAlignment="1">
      <alignment horizontal="centerContinuous"/>
    </xf>
    <xf numFmtId="0" fontId="31" fillId="0" borderId="19" xfId="0" applyFont="1" applyBorder="1" applyAlignment="1">
      <alignment horizontal="centerContinuous"/>
    </xf>
    <xf numFmtId="0" fontId="31" fillId="0" borderId="5" xfId="0" applyFont="1" applyBorder="1" applyAlignment="1">
      <alignment horizontal="centerContinuous"/>
    </xf>
    <xf numFmtId="178" fontId="19" fillId="0" borderId="60" xfId="0" applyNumberFormat="1" applyFont="1" applyBorder="1" applyAlignment="1">
      <alignment horizontal="center" vertical="center"/>
    </xf>
    <xf numFmtId="178" fontId="19" fillId="0" borderId="51" xfId="0" applyNumberFormat="1" applyFont="1" applyBorder="1" applyAlignment="1">
      <alignment horizontal="center" vertical="center"/>
    </xf>
    <xf numFmtId="178" fontId="19" fillId="0" borderId="61" xfId="0" applyNumberFormat="1" applyFont="1" applyBorder="1" applyAlignment="1">
      <alignment horizontal="center" vertical="center"/>
    </xf>
    <xf numFmtId="178" fontId="19" fillId="0" borderId="59" xfId="0" applyNumberFormat="1" applyFont="1" applyBorder="1" applyAlignment="1">
      <alignment horizontal="center" vertical="center"/>
    </xf>
    <xf numFmtId="0" fontId="0" fillId="0" borderId="54" xfId="0" applyBorder="1" applyAlignment="1">
      <alignment horizontal="centerContinuous" vertical="center"/>
    </xf>
    <xf numFmtId="172" fontId="22" fillId="0" borderId="19" xfId="0" applyNumberFormat="1" applyFont="1" applyBorder="1" applyAlignment="1">
      <alignment horizontal="center"/>
    </xf>
    <xf numFmtId="168" fontId="22" fillId="0" borderId="19" xfId="0" applyNumberFormat="1" applyFont="1" applyBorder="1" applyAlignment="1">
      <alignment horizontal="center"/>
    </xf>
    <xf numFmtId="0" fontId="0" fillId="0" borderId="6" xfId="0" applyBorder="1" applyAlignment="1">
      <alignment horizontal="centerContinuous" vertical="center"/>
    </xf>
    <xf numFmtId="182" fontId="22" fillId="0" borderId="21" xfId="0" applyNumberFormat="1" applyFont="1" applyBorder="1" applyAlignment="1">
      <alignment horizontal="centerContinuous" vertical="top"/>
    </xf>
    <xf numFmtId="182" fontId="22" fillId="0" borderId="19" xfId="0" applyNumberFormat="1" applyFont="1" applyBorder="1" applyAlignment="1">
      <alignment horizontal="centerContinuous" vertical="top"/>
    </xf>
    <xf numFmtId="0" fontId="0" fillId="0" borderId="6" xfId="0" applyBorder="1" applyAlignment="1">
      <alignment vertical="top"/>
    </xf>
    <xf numFmtId="0" fontId="0" fillId="0" borderId="19" xfId="0" applyBorder="1" applyAlignment="1">
      <alignment horizontal="center" vertical="top"/>
    </xf>
    <xf numFmtId="0" fontId="0" fillId="0" borderId="21" xfId="0" applyBorder="1" applyAlignment="1">
      <alignment vertical="top"/>
    </xf>
    <xf numFmtId="0" fontId="22" fillId="0" borderId="19" xfId="0" applyFont="1" applyBorder="1" applyAlignment="1">
      <alignment vertical="top"/>
    </xf>
    <xf numFmtId="172" fontId="22" fillId="4" borderId="25" xfId="0" applyNumberFormat="1" applyFont="1" applyFill="1" applyBorder="1" applyAlignment="1">
      <alignment horizontal="center"/>
    </xf>
    <xf numFmtId="0" fontId="0" fillId="4" borderId="54" xfId="0" applyFill="1" applyBorder="1" applyAlignment="1">
      <alignment horizontal="centerContinuous" vertical="top"/>
    </xf>
    <xf numFmtId="0" fontId="0" fillId="4" borderId="21" xfId="0" applyFill="1" applyBorder="1" applyAlignment="1">
      <alignment horizontal="center" vertical="center"/>
    </xf>
    <xf numFmtId="182" fontId="22" fillId="4" borderId="19" xfId="0" applyNumberFormat="1" applyFont="1" applyFill="1" applyBorder="1" applyAlignment="1">
      <alignment horizontal="centerContinuous" vertical="top"/>
    </xf>
    <xf numFmtId="172" fontId="22" fillId="4" borderId="19" xfId="0" applyNumberFormat="1" applyFont="1" applyFill="1" applyBorder="1" applyAlignment="1">
      <alignment horizontal="center"/>
    </xf>
    <xf numFmtId="182" fontId="22" fillId="4" borderId="56" xfId="0" applyNumberFormat="1" applyFont="1" applyFill="1" applyBorder="1" applyAlignment="1">
      <alignment horizontal="centerContinuous" vertical="top"/>
    </xf>
    <xf numFmtId="0" fontId="0" fillId="0" borderId="21" xfId="0" applyBorder="1" applyAlignment="1">
      <alignment horizontal="center"/>
    </xf>
    <xf numFmtId="170" fontId="22" fillId="0" borderId="25" xfId="0" applyNumberFormat="1" applyFont="1" applyBorder="1" applyAlignment="1">
      <alignment horizontal="center"/>
    </xf>
    <xf numFmtId="0" fontId="0" fillId="0" borderId="56" xfId="0" applyBorder="1" applyAlignment="1">
      <alignment horizontal="centerContinuous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19" xfId="0" applyBorder="1" applyAlignment="1">
      <alignment vertical="top"/>
    </xf>
    <xf numFmtId="0" fontId="0" fillId="0" borderId="36" xfId="0" applyBorder="1"/>
    <xf numFmtId="0" fontId="0" fillId="0" borderId="17" xfId="0" applyBorder="1" applyAlignment="1">
      <alignment horizontal="center" vertical="top"/>
    </xf>
    <xf numFmtId="172" fontId="22" fillId="0" borderId="17" xfId="0" applyNumberFormat="1" applyFont="1" applyBorder="1" applyAlignment="1">
      <alignment horizontal="center"/>
    </xf>
    <xf numFmtId="0" fontId="34" fillId="4" borderId="25" xfId="0" applyFont="1" applyFill="1" applyBorder="1" applyAlignment="1">
      <alignment horizontal="center"/>
    </xf>
    <xf numFmtId="0" fontId="34" fillId="4" borderId="37" xfId="0" applyFont="1" applyFill="1" applyBorder="1" applyAlignment="1">
      <alignment horizontal="center"/>
    </xf>
    <xf numFmtId="0" fontId="22" fillId="0" borderId="4" xfId="0" applyFont="1" applyBorder="1"/>
    <xf numFmtId="0" fontId="22" fillId="0" borderId="17" xfId="0" applyFont="1" applyBorder="1" applyAlignment="1">
      <alignment horizontal="center"/>
    </xf>
    <xf numFmtId="165" fontId="21" fillId="0" borderId="0" xfId="0" applyNumberFormat="1" applyFont="1" applyAlignment="1">
      <alignment horizontal="right"/>
    </xf>
    <xf numFmtId="185" fontId="21" fillId="0" borderId="0" xfId="0" applyNumberFormat="1" applyFont="1" applyAlignment="1">
      <alignment horizontal="right"/>
    </xf>
    <xf numFmtId="0" fontId="22" fillId="0" borderId="0" xfId="0" applyFont="1" applyAlignment="1">
      <alignment horizontal="centerContinuous" vertical="center"/>
    </xf>
    <xf numFmtId="0" fontId="31" fillId="0" borderId="0" xfId="0" applyFont="1" applyAlignment="1">
      <alignment horizontal="centerContinuous" vertical="center"/>
    </xf>
    <xf numFmtId="186" fontId="22" fillId="0" borderId="0" xfId="0" applyNumberFormat="1" applyFont="1" applyAlignment="1">
      <alignment horizontal="right"/>
    </xf>
    <xf numFmtId="185" fontId="22" fillId="0" borderId="0" xfId="0" applyNumberFormat="1" applyFont="1" applyAlignment="1">
      <alignment horizontal="right"/>
    </xf>
    <xf numFmtId="167" fontId="21" fillId="0" borderId="0" xfId="0" applyNumberFormat="1" applyFont="1" applyAlignment="1">
      <alignment horizontal="left"/>
    </xf>
    <xf numFmtId="174" fontId="21" fillId="0" borderId="0" xfId="0" applyNumberFormat="1" applyFont="1" applyAlignment="1">
      <alignment horizontal="left"/>
    </xf>
    <xf numFmtId="2" fontId="21" fillId="4" borderId="23" xfId="0" applyNumberFormat="1" applyFont="1" applyFill="1" applyBorder="1" applyAlignment="1">
      <alignment horizontal="left"/>
    </xf>
    <xf numFmtId="185" fontId="21" fillId="4" borderId="23" xfId="0" applyNumberFormat="1" applyFont="1" applyFill="1" applyBorder="1" applyAlignment="1">
      <alignment horizontal="right"/>
    </xf>
    <xf numFmtId="185" fontId="22" fillId="4" borderId="23" xfId="0" applyNumberFormat="1" applyFont="1" applyFill="1" applyBorder="1" applyAlignment="1">
      <alignment horizontal="right"/>
    </xf>
    <xf numFmtId="186" fontId="22" fillId="4" borderId="23" xfId="0" applyNumberFormat="1" applyFont="1" applyFill="1" applyBorder="1" applyAlignment="1">
      <alignment horizontal="right"/>
    </xf>
    <xf numFmtId="2" fontId="21" fillId="4" borderId="33" xfId="0" applyNumberFormat="1" applyFont="1" applyFill="1" applyBorder="1" applyAlignment="1">
      <alignment horizontal="left"/>
    </xf>
    <xf numFmtId="185" fontId="21" fillId="4" borderId="33" xfId="0" applyNumberFormat="1" applyFont="1" applyFill="1" applyBorder="1" applyAlignment="1">
      <alignment horizontal="right"/>
    </xf>
    <xf numFmtId="185" fontId="22" fillId="4" borderId="33" xfId="0" applyNumberFormat="1" applyFont="1" applyFill="1" applyBorder="1" applyAlignment="1">
      <alignment horizontal="right"/>
    </xf>
    <xf numFmtId="186" fontId="22" fillId="4" borderId="33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Continuous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16" fillId="0" borderId="1" xfId="0" applyFont="1" applyBorder="1" applyAlignment="1">
      <alignment horizontal="centerContinuous" vertical="center"/>
    </xf>
    <xf numFmtId="186" fontId="21" fillId="0" borderId="1" xfId="0" applyNumberFormat="1" applyFont="1" applyBorder="1" applyAlignment="1">
      <alignment horizontal="right" vertical="center"/>
    </xf>
    <xf numFmtId="185" fontId="22" fillId="0" borderId="64" xfId="0" applyNumberFormat="1" applyFont="1" applyBorder="1" applyAlignment="1">
      <alignment horizontal="right"/>
    </xf>
    <xf numFmtId="185" fontId="22" fillId="0" borderId="21" xfId="0" applyNumberFormat="1" applyFont="1" applyBorder="1" applyAlignment="1">
      <alignment horizontal="right"/>
    </xf>
    <xf numFmtId="185" fontId="22" fillId="4" borderId="35" xfId="0" applyNumberFormat="1" applyFont="1" applyFill="1" applyBorder="1" applyAlignment="1">
      <alignment horizontal="right"/>
    </xf>
    <xf numFmtId="185" fontId="22" fillId="4" borderId="44" xfId="0" applyNumberFormat="1" applyFont="1" applyFill="1" applyBorder="1" applyAlignment="1">
      <alignment horizontal="right"/>
    </xf>
    <xf numFmtId="186" fontId="22" fillId="0" borderId="63" xfId="0" applyNumberFormat="1" applyFont="1" applyBorder="1" applyAlignment="1">
      <alignment horizontal="right"/>
    </xf>
    <xf numFmtId="186" fontId="22" fillId="0" borderId="56" xfId="0" applyNumberFormat="1" applyFont="1" applyBorder="1" applyAlignment="1">
      <alignment horizontal="right"/>
    </xf>
    <xf numFmtId="186" fontId="22" fillId="4" borderId="77" xfId="0" applyNumberFormat="1" applyFont="1" applyFill="1" applyBorder="1" applyAlignment="1">
      <alignment horizontal="right"/>
    </xf>
    <xf numFmtId="186" fontId="22" fillId="4" borderId="42" xfId="0" applyNumberFormat="1" applyFont="1" applyFill="1" applyBorder="1" applyAlignment="1">
      <alignment horizontal="right"/>
    </xf>
    <xf numFmtId="186" fontId="21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Continuous" vertical="center"/>
    </xf>
    <xf numFmtId="9" fontId="21" fillId="0" borderId="0" xfId="3" applyFont="1" applyBorder="1" applyAlignment="1">
      <alignment horizontal="left"/>
    </xf>
    <xf numFmtId="185" fontId="21" fillId="0" borderId="64" xfId="0" applyNumberFormat="1" applyFont="1" applyBorder="1" applyAlignment="1">
      <alignment horizontal="right"/>
    </xf>
    <xf numFmtId="185" fontId="21" fillId="0" borderId="21" xfId="0" applyNumberFormat="1" applyFont="1" applyBorder="1" applyAlignment="1">
      <alignment horizontal="right"/>
    </xf>
    <xf numFmtId="185" fontId="21" fillId="4" borderId="35" xfId="0" applyNumberFormat="1" applyFont="1" applyFill="1" applyBorder="1" applyAlignment="1">
      <alignment horizontal="right"/>
    </xf>
    <xf numFmtId="185" fontId="21" fillId="4" borderId="44" xfId="0" applyNumberFormat="1" applyFont="1" applyFill="1" applyBorder="1" applyAlignment="1">
      <alignment horizontal="right"/>
    </xf>
    <xf numFmtId="166" fontId="2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4" borderId="39" xfId="2" applyFont="1" applyFill="1" applyBorder="1" applyAlignment="1">
      <alignment horizontal="left"/>
    </xf>
    <xf numFmtId="0" fontId="16" fillId="4" borderId="25" xfId="2" applyFont="1" applyFill="1" applyBorder="1" applyAlignment="1">
      <alignment horizontal="center"/>
    </xf>
    <xf numFmtId="166" fontId="21" fillId="0" borderId="0" xfId="0" applyNumberFormat="1" applyFont="1" applyAlignment="1">
      <alignment horizontal="center"/>
    </xf>
    <xf numFmtId="0" fontId="50" fillId="0" borderId="0" xfId="0" applyFont="1"/>
    <xf numFmtId="179" fontId="60" fillId="4" borderId="26" xfId="2" applyNumberFormat="1" applyFont="1" applyFill="1" applyBorder="1" applyAlignment="1">
      <alignment horizontal="right"/>
    </xf>
    <xf numFmtId="180" fontId="21" fillId="2" borderId="0" xfId="0" applyNumberFormat="1" applyFont="1" applyFill="1" applyAlignment="1">
      <alignment horizontal="left"/>
    </xf>
    <xf numFmtId="180" fontId="21" fillId="0" borderId="0" xfId="0" applyNumberFormat="1" applyFont="1" applyAlignment="1">
      <alignment horizontal="left"/>
    </xf>
    <xf numFmtId="180" fontId="22" fillId="0" borderId="0" xfId="0" applyNumberFormat="1" applyFont="1" applyAlignment="1">
      <alignment horizontal="left"/>
    </xf>
    <xf numFmtId="0" fontId="0" fillId="0" borderId="0" xfId="0" applyAlignment="1">
      <alignment horizontal="left" indent="1"/>
    </xf>
    <xf numFmtId="166" fontId="31" fillId="0" borderId="0" xfId="4" applyNumberFormat="1" applyFont="1" applyAlignment="1">
      <alignment horizontal="left"/>
    </xf>
    <xf numFmtId="0" fontId="15" fillId="0" borderId="0" xfId="2" applyFont="1"/>
    <xf numFmtId="0" fontId="63" fillId="0" borderId="0" xfId="4" applyFont="1"/>
    <xf numFmtId="0" fontId="66" fillId="0" borderId="0" xfId="4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9" fontId="0" fillId="0" borderId="0" xfId="3" applyFont="1" applyAlignment="1">
      <alignment vertical="center"/>
    </xf>
    <xf numFmtId="0" fontId="42" fillId="0" borderId="0" xfId="2" applyAlignment="1">
      <alignment horizontal="center" vertical="center"/>
    </xf>
    <xf numFmtId="0" fontId="21" fillId="0" borderId="0" xfId="0" applyFont="1" applyAlignment="1">
      <alignment vertical="center"/>
    </xf>
    <xf numFmtId="0" fontId="15" fillId="0" borderId="0" xfId="0" applyFont="1"/>
    <xf numFmtId="0" fontId="31" fillId="0" borderId="0" xfId="0" applyFont="1"/>
    <xf numFmtId="0" fontId="15" fillId="0" borderId="0" xfId="0" applyFont="1" applyAlignment="1">
      <alignment horizontal="center"/>
    </xf>
    <xf numFmtId="0" fontId="0" fillId="0" borderId="0" xfId="4" applyFont="1"/>
    <xf numFmtId="0" fontId="0" fillId="5" borderId="12" xfId="0" applyFill="1" applyBorder="1" applyAlignment="1">
      <alignment horizontal="left"/>
    </xf>
    <xf numFmtId="0" fontId="15" fillId="0" borderId="0" xfId="2" applyFont="1" applyAlignment="1">
      <alignment horizontal="center"/>
    </xf>
    <xf numFmtId="2" fontId="22" fillId="0" borderId="0" xfId="0" applyNumberFormat="1" applyFont="1" applyAlignment="1">
      <alignment horizontal="left"/>
    </xf>
    <xf numFmtId="3" fontId="22" fillId="0" borderId="19" xfId="1" applyNumberFormat="1" applyFont="1" applyFill="1" applyBorder="1" applyAlignment="1">
      <alignment horizontal="center"/>
    </xf>
    <xf numFmtId="3" fontId="22" fillId="4" borderId="41" xfId="0" applyNumberFormat="1" applyFont="1" applyFill="1" applyBorder="1" applyAlignment="1">
      <alignment horizontal="center"/>
    </xf>
    <xf numFmtId="3" fontId="22" fillId="4" borderId="17" xfId="0" applyNumberFormat="1" applyFont="1" applyFill="1" applyBorder="1" applyAlignment="1">
      <alignment horizontal="center"/>
    </xf>
    <xf numFmtId="0" fontId="31" fillId="0" borderId="0" xfId="4" applyFont="1" applyAlignment="1">
      <alignment horizontal="center" vertical="center"/>
    </xf>
    <xf numFmtId="0" fontId="21" fillId="0" borderId="0" xfId="4" applyFont="1" applyAlignment="1">
      <alignment horizontal="center" vertical="center"/>
    </xf>
    <xf numFmtId="2" fontId="21" fillId="0" borderId="0" xfId="4" applyNumberFormat="1" applyFont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1" fillId="0" borderId="0" xfId="4" applyFont="1" applyAlignment="1">
      <alignment horizontal="center"/>
    </xf>
    <xf numFmtId="0" fontId="22" fillId="0" borderId="0" xfId="4" applyFont="1" applyAlignment="1">
      <alignment horizontal="center"/>
    </xf>
    <xf numFmtId="177" fontId="17" fillId="0" borderId="0" xfId="4" applyNumberFormat="1" applyAlignment="1">
      <alignment horizontal="center"/>
    </xf>
    <xf numFmtId="166" fontId="17" fillId="0" borderId="0" xfId="4" applyNumberFormat="1" applyAlignment="1">
      <alignment horizontal="center"/>
    </xf>
    <xf numFmtId="177" fontId="22" fillId="0" borderId="0" xfId="4" applyNumberFormat="1" applyFont="1" applyAlignment="1">
      <alignment horizontal="center"/>
    </xf>
    <xf numFmtId="166" fontId="22" fillId="0" borderId="0" xfId="4" applyNumberFormat="1" applyFont="1" applyAlignment="1">
      <alignment horizontal="center"/>
    </xf>
    <xf numFmtId="0" fontId="17" fillId="0" borderId="0" xfId="4" applyAlignment="1">
      <alignment horizontal="center"/>
    </xf>
    <xf numFmtId="188" fontId="21" fillId="0" borderId="0" xfId="2" applyNumberFormat="1" applyFont="1" applyAlignment="1">
      <alignment horizontal="center"/>
    </xf>
    <xf numFmtId="0" fontId="16" fillId="0" borderId="34" xfId="0" applyFont="1" applyBorder="1" applyAlignment="1">
      <alignment horizontal="centerContinuous" vertical="center"/>
    </xf>
    <xf numFmtId="0" fontId="0" fillId="0" borderId="52" xfId="0" applyBorder="1" applyAlignment="1">
      <alignment horizontal="centerContinuous" vertical="center"/>
    </xf>
    <xf numFmtId="9" fontId="0" fillId="0" borderId="0" xfId="3" applyFont="1" applyAlignment="1"/>
    <xf numFmtId="0" fontId="14" fillId="0" borderId="0" xfId="2" applyFont="1" applyAlignment="1">
      <alignment horizontal="center"/>
    </xf>
    <xf numFmtId="0" fontId="14" fillId="0" borderId="0" xfId="2" applyFont="1"/>
    <xf numFmtId="187" fontId="0" fillId="0" borderId="0" xfId="0" applyNumberFormat="1"/>
    <xf numFmtId="0" fontId="19" fillId="0" borderId="15" xfId="0" applyFont="1" applyBorder="1" applyAlignment="1">
      <alignment horizontal="center"/>
    </xf>
    <xf numFmtId="0" fontId="19" fillId="0" borderId="11" xfId="0" applyFont="1" applyBorder="1" applyAlignment="1">
      <alignment horizontal="left"/>
    </xf>
    <xf numFmtId="0" fontId="19" fillId="0" borderId="34" xfId="0" applyFont="1" applyBorder="1"/>
    <xf numFmtId="0" fontId="0" fillId="0" borderId="0" xfId="4" applyFont="1" applyAlignment="1">
      <alignment horizontal="left"/>
    </xf>
    <xf numFmtId="0" fontId="31" fillId="0" borderId="19" xfId="0" applyFont="1" applyBorder="1" applyAlignment="1">
      <alignment horizontal="centerContinuous" vertical="center"/>
    </xf>
    <xf numFmtId="0" fontId="19" fillId="0" borderId="34" xfId="5" applyFont="1" applyBorder="1" applyAlignment="1">
      <alignment horizontal="center" vertical="center"/>
    </xf>
    <xf numFmtId="0" fontId="58" fillId="0" borderId="0" xfId="0" applyFont="1" applyAlignment="1">
      <alignment horizontal="centerContinuous"/>
    </xf>
    <xf numFmtId="185" fontId="22" fillId="0" borderId="0" xfId="2" applyNumberFormat="1" applyFont="1" applyAlignment="1">
      <alignment horizontal="right"/>
    </xf>
    <xf numFmtId="0" fontId="67" fillId="0" borderId="0" xfId="0" applyFont="1"/>
    <xf numFmtId="0" fontId="68" fillId="0" borderId="0" xfId="0" applyFont="1"/>
    <xf numFmtId="0" fontId="15" fillId="0" borderId="0" xfId="2" applyFont="1" applyAlignment="1">
      <alignment horizontal="left" vertical="center" indent="1"/>
    </xf>
    <xf numFmtId="0" fontId="67" fillId="0" borderId="0" xfId="0" applyFont="1" applyAlignment="1">
      <alignment horizontal="left"/>
    </xf>
    <xf numFmtId="0" fontId="67" fillId="0" borderId="0" xfId="0" applyFont="1" applyAlignment="1">
      <alignment vertical="center"/>
    </xf>
    <xf numFmtId="0" fontId="67" fillId="0" borderId="0" xfId="0" applyFont="1" applyAlignment="1">
      <alignment vertical="top"/>
    </xf>
    <xf numFmtId="0" fontId="58" fillId="0" borderId="21" xfId="0" applyFont="1" applyBorder="1" applyAlignment="1">
      <alignment horizontal="centerContinuous"/>
    </xf>
    <xf numFmtId="0" fontId="24" fillId="0" borderId="0" xfId="0" applyFont="1" applyAlignment="1">
      <alignment vertical="center"/>
    </xf>
    <xf numFmtId="0" fontId="58" fillId="0" borderId="21" xfId="5" applyFont="1" applyBorder="1" applyAlignment="1">
      <alignment horizontal="centerContinuous"/>
    </xf>
    <xf numFmtId="0" fontId="58" fillId="0" borderId="6" xfId="5" applyFont="1" applyBorder="1" applyAlignment="1">
      <alignment horizontal="centerContinuous"/>
    </xf>
    <xf numFmtId="0" fontId="19" fillId="0" borderId="11" xfId="5" applyFont="1" applyBorder="1" applyAlignment="1">
      <alignment horizontal="center" vertical="center"/>
    </xf>
    <xf numFmtId="0" fontId="70" fillId="0" borderId="0" xfId="0" applyFont="1" applyAlignment="1">
      <alignment horizontal="left" vertical="center" readingOrder="1"/>
    </xf>
    <xf numFmtId="0" fontId="47" fillId="0" borderId="0" xfId="0" applyFont="1"/>
    <xf numFmtId="0" fontId="37" fillId="0" borderId="0" xfId="0" applyFont="1"/>
    <xf numFmtId="0" fontId="37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165" fontId="22" fillId="0" borderId="0" xfId="0" applyNumberFormat="1" applyFont="1" applyAlignment="1">
      <alignment horizontal="left"/>
    </xf>
    <xf numFmtId="0" fontId="38" fillId="0" borderId="0" xfId="0" applyFont="1" applyAlignment="1">
      <alignment vertical="center"/>
    </xf>
    <xf numFmtId="185" fontId="71" fillId="0" borderId="0" xfId="0" applyNumberFormat="1" applyFont="1" applyAlignment="1">
      <alignment horizontal="left" vertical="center"/>
    </xf>
    <xf numFmtId="2" fontId="17" fillId="0" borderId="0" xfId="2" applyNumberFormat="1" applyFont="1" applyAlignment="1">
      <alignment horizontal="center"/>
    </xf>
    <xf numFmtId="167" fontId="21" fillId="6" borderId="12" xfId="2" applyNumberFormat="1" applyFont="1" applyFill="1" applyBorder="1" applyAlignment="1">
      <alignment horizontal="center"/>
    </xf>
    <xf numFmtId="174" fontId="21" fillId="6" borderId="12" xfId="2" applyNumberFormat="1" applyFont="1" applyFill="1" applyBorder="1" applyAlignment="1">
      <alignment horizontal="center"/>
    </xf>
    <xf numFmtId="183" fontId="21" fillId="6" borderId="12" xfId="2" applyNumberFormat="1" applyFont="1" applyFill="1" applyBorder="1" applyAlignment="1">
      <alignment horizontal="center"/>
    </xf>
    <xf numFmtId="2" fontId="21" fillId="6" borderId="12" xfId="2" applyNumberFormat="1" applyFont="1" applyFill="1" applyBorder="1" applyAlignment="1">
      <alignment horizontal="center"/>
    </xf>
    <xf numFmtId="190" fontId="21" fillId="0" borderId="0" xfId="2" applyNumberFormat="1" applyFont="1" applyAlignment="1">
      <alignment horizontal="center"/>
    </xf>
    <xf numFmtId="2" fontId="21" fillId="7" borderId="12" xfId="2" applyNumberFormat="1" applyFont="1" applyFill="1" applyBorder="1" applyAlignment="1">
      <alignment horizontal="center"/>
    </xf>
    <xf numFmtId="0" fontId="12" fillId="0" borderId="0" xfId="2" applyFont="1"/>
    <xf numFmtId="0" fontId="60" fillId="0" borderId="0" xfId="2" applyFont="1"/>
    <xf numFmtId="0" fontId="72" fillId="0" borderId="0" xfId="2" applyFont="1"/>
    <xf numFmtId="172" fontId="22" fillId="4" borderId="29" xfId="0" applyNumberFormat="1" applyFont="1" applyFill="1" applyBorder="1" applyAlignment="1">
      <alignment horizontal="center"/>
    </xf>
    <xf numFmtId="0" fontId="12" fillId="0" borderId="0" xfId="2" applyFont="1" applyAlignment="1">
      <alignment horizontal="left"/>
    </xf>
    <xf numFmtId="0" fontId="19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11" fillId="0" borderId="0" xfId="0" applyFont="1"/>
    <xf numFmtId="0" fontId="11" fillId="0" borderId="0" xfId="2" applyFont="1" applyAlignment="1">
      <alignment horizontal="left"/>
    </xf>
    <xf numFmtId="0" fontId="11" fillId="0" borderId="0" xfId="2" applyFont="1" applyAlignment="1">
      <alignment vertical="center"/>
    </xf>
    <xf numFmtId="0" fontId="11" fillId="0" borderId="0" xfId="2" applyFont="1"/>
    <xf numFmtId="186" fontId="21" fillId="0" borderId="0" xfId="0" applyNumberFormat="1" applyFont="1" applyAlignment="1">
      <alignment horizontal="right"/>
    </xf>
    <xf numFmtId="191" fontId="21" fillId="0" borderId="0" xfId="0" applyNumberFormat="1" applyFont="1" applyAlignment="1">
      <alignment horizontal="center"/>
    </xf>
    <xf numFmtId="0" fontId="19" fillId="0" borderId="51" xfId="0" applyFont="1" applyBorder="1" applyAlignment="1">
      <alignment horizontal="center"/>
    </xf>
    <xf numFmtId="2" fontId="22" fillId="0" borderId="0" xfId="4" applyNumberFormat="1" applyFont="1" applyAlignment="1">
      <alignment horizontal="center" vertical="center"/>
    </xf>
    <xf numFmtId="166" fontId="21" fillId="6" borderId="12" xfId="2" applyNumberFormat="1" applyFont="1" applyFill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21" fillId="0" borderId="0" xfId="0" applyFont="1" applyAlignment="1">
      <alignment horizontal="left" wrapText="1"/>
    </xf>
    <xf numFmtId="0" fontId="44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39" fontId="42" fillId="0" borderId="0" xfId="2" applyNumberFormat="1" applyAlignment="1">
      <alignment horizontal="center"/>
    </xf>
    <xf numFmtId="0" fontId="10" fillId="0" borderId="0" xfId="2" applyFont="1"/>
    <xf numFmtId="9" fontId="10" fillId="0" borderId="0" xfId="3" applyFont="1"/>
    <xf numFmtId="0" fontId="19" fillId="0" borderId="1" xfId="0" applyFont="1" applyBorder="1" applyAlignment="1">
      <alignment horizontal="centerContinuous"/>
    </xf>
    <xf numFmtId="186" fontId="22" fillId="0" borderId="21" xfId="0" applyNumberFormat="1" applyFont="1" applyBorder="1" applyAlignment="1">
      <alignment horizontal="right"/>
    </xf>
    <xf numFmtId="192" fontId="22" fillId="0" borderId="21" xfId="0" applyNumberFormat="1" applyFont="1" applyBorder="1" applyAlignment="1">
      <alignment horizontal="right"/>
    </xf>
    <xf numFmtId="192" fontId="0" fillId="0" borderId="0" xfId="0" applyNumberFormat="1"/>
    <xf numFmtId="0" fontId="21" fillId="0" borderId="0" xfId="0" quotePrefix="1" applyFont="1"/>
    <xf numFmtId="0" fontId="55" fillId="0" borderId="0" xfId="0" applyFont="1"/>
    <xf numFmtId="167" fontId="21" fillId="0" borderId="0" xfId="2" applyNumberFormat="1" applyFont="1" applyAlignment="1">
      <alignment horizontal="left"/>
    </xf>
    <xf numFmtId="9" fontId="0" fillId="0" borderId="0" xfId="3" applyFont="1" applyAlignment="1">
      <alignment horizontal="left"/>
    </xf>
    <xf numFmtId="2" fontId="21" fillId="0" borderId="0" xfId="2" applyNumberFormat="1" applyFont="1" applyAlignment="1">
      <alignment horizontal="left"/>
    </xf>
    <xf numFmtId="165" fontId="21" fillId="0" borderId="0" xfId="0" applyNumberFormat="1" applyFont="1" applyAlignment="1">
      <alignment horizontal="left" vertical="top"/>
    </xf>
    <xf numFmtId="166" fontId="21" fillId="0" borderId="0" xfId="0" applyNumberFormat="1" applyFont="1" applyAlignment="1">
      <alignment horizontal="left" vertical="top"/>
    </xf>
    <xf numFmtId="0" fontId="19" fillId="0" borderId="60" xfId="0" applyFont="1" applyBorder="1" applyAlignment="1">
      <alignment horizontal="centerContinuous" vertical="center"/>
    </xf>
    <xf numFmtId="178" fontId="19" fillId="0" borderId="70" xfId="0" applyNumberFormat="1" applyFont="1" applyBorder="1" applyAlignment="1">
      <alignment horizontal="centerContinuous" vertical="center"/>
    </xf>
    <xf numFmtId="0" fontId="19" fillId="0" borderId="59" xfId="0" applyFont="1" applyBorder="1" applyAlignment="1">
      <alignment horizontal="centerContinuous" vertical="center"/>
    </xf>
    <xf numFmtId="178" fontId="19" fillId="0" borderId="34" xfId="0" applyNumberFormat="1" applyFont="1" applyBorder="1" applyAlignment="1">
      <alignment horizontal="center" vertical="center"/>
    </xf>
    <xf numFmtId="178" fontId="19" fillId="0" borderId="71" xfId="0" applyNumberFormat="1" applyFont="1" applyBorder="1" applyAlignment="1">
      <alignment horizontal="center" vertical="center"/>
    </xf>
    <xf numFmtId="0" fontId="0" fillId="0" borderId="53" xfId="0" applyBorder="1" applyAlignment="1">
      <alignment horizontal="center"/>
    </xf>
    <xf numFmtId="172" fontId="0" fillId="0" borderId="0" xfId="0" applyNumberFormat="1" applyAlignment="1">
      <alignment horizontal="center"/>
    </xf>
    <xf numFmtId="172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72" fontId="0" fillId="4" borderId="37" xfId="0" applyNumberFormat="1" applyFill="1" applyBorder="1" applyAlignment="1">
      <alignment horizontal="center"/>
    </xf>
    <xf numFmtId="172" fontId="0" fillId="4" borderId="43" xfId="0" applyNumberFormat="1" applyFill="1" applyBorder="1" applyAlignment="1">
      <alignment horizontal="center"/>
    </xf>
    <xf numFmtId="166" fontId="0" fillId="4" borderId="25" xfId="0" applyNumberFormat="1" applyFill="1" applyBorder="1" applyAlignment="1">
      <alignment horizontal="center"/>
    </xf>
    <xf numFmtId="166" fontId="0" fillId="4" borderId="41" xfId="0" applyNumberFormat="1" applyFill="1" applyBorder="1" applyAlignment="1">
      <alignment horizontal="center"/>
    </xf>
    <xf numFmtId="0" fontId="0" fillId="4" borderId="17" xfId="0" applyFill="1" applyBorder="1"/>
    <xf numFmtId="172" fontId="0" fillId="4" borderId="3" xfId="0" applyNumberFormat="1" applyFill="1" applyBorder="1"/>
    <xf numFmtId="172" fontId="0" fillId="4" borderId="2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4" xfId="0" applyFill="1" applyBorder="1" applyAlignment="1">
      <alignment horizontal="center" vertical="top"/>
    </xf>
    <xf numFmtId="0" fontId="0" fillId="4" borderId="17" xfId="0" applyFill="1" applyBorder="1" applyAlignment="1">
      <alignment vertical="top"/>
    </xf>
    <xf numFmtId="0" fontId="0" fillId="4" borderId="2" xfId="0" applyFill="1" applyBorder="1" applyAlignment="1">
      <alignment vertical="top"/>
    </xf>
    <xf numFmtId="192" fontId="21" fillId="0" borderId="0" xfId="0" applyNumberFormat="1" applyFont="1" applyAlignment="1">
      <alignment horizontal="right"/>
    </xf>
    <xf numFmtId="192" fontId="0" fillId="0" borderId="0" xfId="0" applyNumberFormat="1" applyAlignment="1">
      <alignment vertical="top"/>
    </xf>
    <xf numFmtId="186" fontId="22" fillId="0" borderId="0" xfId="0" applyNumberFormat="1" applyFont="1" applyAlignment="1">
      <alignment horizontal="right" vertical="center"/>
    </xf>
    <xf numFmtId="0" fontId="74" fillId="0" borderId="0" xfId="0" applyFont="1"/>
    <xf numFmtId="0" fontId="24" fillId="0" borderId="1" xfId="0" applyFont="1" applyBorder="1" applyAlignment="1">
      <alignment vertical="center" wrapText="1"/>
    </xf>
    <xf numFmtId="39" fontId="0" fillId="0" borderId="0" xfId="0" applyNumberFormat="1"/>
    <xf numFmtId="2" fontId="21" fillId="0" borderId="0" xfId="0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186" fontId="21" fillId="0" borderId="0" xfId="0" applyNumberFormat="1" applyFont="1" applyAlignment="1">
      <alignment horizontal="center"/>
    </xf>
    <xf numFmtId="185" fontId="22" fillId="0" borderId="0" xfId="2" applyNumberFormat="1" applyFont="1" applyAlignment="1">
      <alignment horizontal="center"/>
    </xf>
    <xf numFmtId="185" fontId="21" fillId="0" borderId="1" xfId="2" applyNumberFormat="1" applyFont="1" applyBorder="1" applyAlignment="1">
      <alignment horizontal="center"/>
    </xf>
    <xf numFmtId="172" fontId="22" fillId="0" borderId="53" xfId="0" applyNumberFormat="1" applyFont="1" applyBorder="1" applyAlignment="1">
      <alignment horizontal="center"/>
    </xf>
    <xf numFmtId="172" fontId="22" fillId="0" borderId="22" xfId="0" applyNumberFormat="1" applyFont="1" applyBorder="1" applyAlignment="1">
      <alignment horizontal="center"/>
    </xf>
    <xf numFmtId="172" fontId="22" fillId="4" borderId="53" xfId="0" applyNumberFormat="1" applyFont="1" applyFill="1" applyBorder="1" applyAlignment="1">
      <alignment horizontal="center"/>
    </xf>
    <xf numFmtId="172" fontId="22" fillId="4" borderId="22" xfId="0" applyNumberFormat="1" applyFont="1" applyFill="1" applyBorder="1" applyAlignment="1">
      <alignment horizontal="center"/>
    </xf>
    <xf numFmtId="186" fontId="21" fillId="0" borderId="1" xfId="0" applyNumberFormat="1" applyFont="1" applyBorder="1" applyAlignment="1">
      <alignment horizontal="center"/>
    </xf>
    <xf numFmtId="9" fontId="0" fillId="0" borderId="0" xfId="6" applyFont="1"/>
    <xf numFmtId="9" fontId="0" fillId="0" borderId="0" xfId="6" applyFont="1" applyAlignment="1">
      <alignment vertical="center"/>
    </xf>
    <xf numFmtId="0" fontId="19" fillId="0" borderId="1" xfId="0" applyFont="1" applyBorder="1" applyAlignment="1">
      <alignment horizontal="centerContinuous" vertical="center"/>
    </xf>
    <xf numFmtId="0" fontId="43" fillId="0" borderId="0" xfId="0" applyFont="1" applyAlignment="1">
      <alignment horizontal="center"/>
    </xf>
    <xf numFmtId="0" fontId="45" fillId="0" borderId="0" xfId="2" applyFont="1" applyAlignment="1">
      <alignment vertical="center"/>
    </xf>
    <xf numFmtId="167" fontId="22" fillId="0" borderId="0" xfId="0" applyNumberFormat="1" applyFont="1" applyAlignment="1">
      <alignment horizontal="left"/>
    </xf>
    <xf numFmtId="167" fontId="21" fillId="0" borderId="0" xfId="0" applyNumberFormat="1" applyFont="1" applyAlignment="1">
      <alignment horizontal="center"/>
    </xf>
    <xf numFmtId="186" fontId="22" fillId="0" borderId="0" xfId="0" applyNumberFormat="1" applyFont="1" applyAlignment="1">
      <alignment horizontal="center" vertical="center"/>
    </xf>
    <xf numFmtId="193" fontId="21" fillId="0" borderId="0" xfId="0" applyNumberFormat="1" applyFont="1" applyAlignment="1">
      <alignment horizontal="center"/>
    </xf>
    <xf numFmtId="193" fontId="22" fillId="0" borderId="0" xfId="0" applyNumberFormat="1" applyFont="1" applyAlignment="1">
      <alignment horizontal="center"/>
    </xf>
    <xf numFmtId="193" fontId="0" fillId="0" borderId="0" xfId="0" applyNumberFormat="1" applyAlignment="1">
      <alignment vertical="center"/>
    </xf>
    <xf numFmtId="193" fontId="0" fillId="0" borderId="0" xfId="0" applyNumberFormat="1" applyAlignment="1">
      <alignment horizontal="center" vertical="center"/>
    </xf>
    <xf numFmtId="193" fontId="21" fillId="0" borderId="0" xfId="2" applyNumberFormat="1" applyFont="1" applyAlignment="1">
      <alignment horizontal="center"/>
    </xf>
    <xf numFmtId="193" fontId="22" fillId="0" borderId="1" xfId="0" applyNumberFormat="1" applyFont="1" applyBorder="1" applyAlignment="1">
      <alignment horizontal="center"/>
    </xf>
    <xf numFmtId="193" fontId="0" fillId="0" borderId="1" xfId="0" applyNumberFormat="1" applyBorder="1" applyAlignment="1">
      <alignment horizontal="center" vertical="center"/>
    </xf>
    <xf numFmtId="193" fontId="21" fillId="0" borderId="1" xfId="2" applyNumberFormat="1" applyFont="1" applyBorder="1" applyAlignment="1">
      <alignment horizontal="center"/>
    </xf>
    <xf numFmtId="193" fontId="0" fillId="0" borderId="0" xfId="0" applyNumberFormat="1"/>
    <xf numFmtId="193" fontId="0" fillId="0" borderId="0" xfId="0" applyNumberFormat="1" applyAlignment="1">
      <alignment horizontal="center"/>
    </xf>
    <xf numFmtId="167" fontId="21" fillId="6" borderId="12" xfId="4" applyNumberFormat="1" applyFont="1" applyFill="1" applyBorder="1" applyAlignment="1">
      <alignment horizontal="left"/>
    </xf>
    <xf numFmtId="185" fontId="22" fillId="0" borderId="1" xfId="2" applyNumberFormat="1" applyFont="1" applyBorder="1" applyAlignment="1">
      <alignment horizontal="center"/>
    </xf>
    <xf numFmtId="0" fontId="0" fillId="0" borderId="1" xfId="0" applyBorder="1" applyAlignment="1">
      <alignment horizontal="centerContinuous"/>
    </xf>
    <xf numFmtId="0" fontId="56" fillId="0" borderId="0" xfId="0" applyFont="1" applyAlignment="1">
      <alignment horizontal="left"/>
    </xf>
    <xf numFmtId="189" fontId="21" fillId="0" borderId="0" xfId="0" applyNumberFormat="1" applyFont="1" applyAlignment="1">
      <alignment horizontal="right"/>
    </xf>
    <xf numFmtId="189" fontId="24" fillId="0" borderId="0" xfId="0" applyNumberFormat="1" applyFont="1"/>
    <xf numFmtId="194" fontId="0" fillId="0" borderId="0" xfId="0" applyNumberFormat="1"/>
    <xf numFmtId="189" fontId="22" fillId="0" borderId="64" xfId="0" applyNumberFormat="1" applyFont="1" applyBorder="1" applyAlignment="1">
      <alignment horizontal="right"/>
    </xf>
    <xf numFmtId="189" fontId="22" fillId="0" borderId="21" xfId="0" applyNumberFormat="1" applyFont="1" applyBorder="1" applyAlignment="1">
      <alignment horizontal="right"/>
    </xf>
    <xf numFmtId="189" fontId="21" fillId="0" borderId="0" xfId="0" applyNumberFormat="1" applyFont="1" applyAlignment="1">
      <alignment horizontal="left"/>
    </xf>
    <xf numFmtId="189" fontId="0" fillId="0" borderId="0" xfId="0" applyNumberFormat="1"/>
    <xf numFmtId="194" fontId="22" fillId="0" borderId="0" xfId="0" applyNumberFormat="1" applyFont="1" applyAlignment="1">
      <alignment horizontal="right"/>
    </xf>
    <xf numFmtId="0" fontId="0" fillId="0" borderId="1" xfId="0" applyBorder="1" applyAlignment="1">
      <alignment horizontal="center"/>
    </xf>
    <xf numFmtId="0" fontId="59" fillId="0" borderId="0" xfId="0" applyFont="1" applyAlignment="1">
      <alignment horizontal="centerContinuous" vertical="center"/>
    </xf>
    <xf numFmtId="0" fontId="19" fillId="0" borderId="0" xfId="0" applyFont="1" applyAlignment="1">
      <alignment horizontal="right"/>
    </xf>
    <xf numFmtId="195" fontId="22" fillId="0" borderId="0" xfId="0" applyNumberFormat="1" applyFont="1" applyAlignment="1">
      <alignment horizontal="center"/>
    </xf>
    <xf numFmtId="195" fontId="22" fillId="0" borderId="1" xfId="0" applyNumberFormat="1" applyFont="1" applyBorder="1" applyAlignment="1">
      <alignment horizontal="center"/>
    </xf>
    <xf numFmtId="0" fontId="0" fillId="0" borderId="61" xfId="0" applyBorder="1" applyAlignment="1">
      <alignment horizontal="center" vertical="center"/>
    </xf>
    <xf numFmtId="196" fontId="21" fillId="0" borderId="0" xfId="0" applyNumberFormat="1" applyFont="1" applyAlignment="1">
      <alignment horizontal="left"/>
    </xf>
    <xf numFmtId="0" fontId="42" fillId="0" borderId="0" xfId="2" applyAlignment="1">
      <alignment horizontal="right"/>
    </xf>
    <xf numFmtId="0" fontId="75" fillId="0" borderId="0" xfId="2" applyFont="1"/>
    <xf numFmtId="0" fontId="43" fillId="0" borderId="0" xfId="2" applyFont="1" applyAlignment="1">
      <alignment horizontal="left"/>
    </xf>
    <xf numFmtId="0" fontId="19" fillId="0" borderId="60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39" fontId="0" fillId="0" borderId="0" xfId="0" applyNumberFormat="1" applyAlignment="1">
      <alignment horizontal="center"/>
    </xf>
    <xf numFmtId="39" fontId="0" fillId="0" borderId="19" xfId="0" applyNumberFormat="1" applyBorder="1" applyAlignment="1">
      <alignment horizontal="center"/>
    </xf>
    <xf numFmtId="167" fontId="21" fillId="2" borderId="0" xfId="0" applyNumberFormat="1" applyFont="1" applyFill="1" applyAlignment="1">
      <alignment horizontal="left"/>
    </xf>
    <xf numFmtId="174" fontId="21" fillId="2" borderId="0" xfId="0" applyNumberFormat="1" applyFont="1" applyFill="1" applyAlignment="1">
      <alignment horizontal="left"/>
    </xf>
    <xf numFmtId="0" fontId="0" fillId="0" borderId="5" xfId="0" applyBorder="1" applyAlignment="1">
      <alignment horizontal="centerContinuous"/>
    </xf>
    <xf numFmtId="0" fontId="22" fillId="0" borderId="6" xfId="0" quotePrefix="1" applyFont="1" applyBorder="1" applyAlignment="1">
      <alignment horizontal="center"/>
    </xf>
    <xf numFmtId="179" fontId="21" fillId="0" borderId="0" xfId="0" applyNumberFormat="1" applyFont="1"/>
    <xf numFmtId="0" fontId="0" fillId="0" borderId="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78" xfId="0" applyBorder="1" applyAlignment="1">
      <alignment horizontal="center"/>
    </xf>
    <xf numFmtId="0" fontId="61" fillId="0" borderId="80" xfId="0" applyFont="1" applyBorder="1" applyAlignment="1">
      <alignment horizontal="centerContinuous"/>
    </xf>
    <xf numFmtId="168" fontId="22" fillId="0" borderId="0" xfId="0" applyNumberFormat="1" applyFont="1" applyAlignment="1">
      <alignment horizontal="center"/>
    </xf>
    <xf numFmtId="182" fontId="22" fillId="0" borderId="0" xfId="0" applyNumberFormat="1" applyFont="1" applyAlignment="1">
      <alignment horizontal="centerContinuous" vertical="top"/>
    </xf>
    <xf numFmtId="0" fontId="51" fillId="12" borderId="9" xfId="0" applyFont="1" applyFill="1" applyBorder="1" applyAlignment="1">
      <alignment horizontal="centerContinuous" vertical="center"/>
    </xf>
    <xf numFmtId="0" fontId="51" fillId="12" borderId="38" xfId="0" applyFont="1" applyFill="1" applyBorder="1" applyAlignment="1">
      <alignment horizontal="centerContinuous" vertical="center"/>
    </xf>
    <xf numFmtId="0" fontId="51" fillId="12" borderId="13" xfId="0" applyFont="1" applyFill="1" applyBorder="1" applyAlignment="1">
      <alignment horizontal="centerContinuous" vertical="center"/>
    </xf>
    <xf numFmtId="0" fontId="51" fillId="12" borderId="9" xfId="0" applyFont="1" applyFill="1" applyBorder="1" applyAlignment="1">
      <alignment horizontal="centerContinuous"/>
    </xf>
    <xf numFmtId="0" fontId="51" fillId="12" borderId="7" xfId="0" applyFont="1" applyFill="1" applyBorder="1" applyAlignment="1">
      <alignment horizontal="centerContinuous"/>
    </xf>
    <xf numFmtId="0" fontId="51" fillId="12" borderId="8" xfId="0" applyFont="1" applyFill="1" applyBorder="1" applyAlignment="1">
      <alignment horizontal="centerContinuous" vertical="center"/>
    </xf>
    <xf numFmtId="0" fontId="51" fillId="12" borderId="7" xfId="0" applyFont="1" applyFill="1" applyBorder="1" applyAlignment="1">
      <alignment horizontal="centerContinuous" vertical="center"/>
    </xf>
    <xf numFmtId="0" fontId="41" fillId="12" borderId="8" xfId="0" applyFont="1" applyFill="1" applyBorder="1" applyAlignment="1">
      <alignment horizontal="centerContinuous" vertical="center"/>
    </xf>
    <xf numFmtId="0" fontId="41" fillId="12" borderId="49" xfId="0" applyFont="1" applyFill="1" applyBorder="1" applyAlignment="1">
      <alignment horizontal="centerContinuous" vertical="center"/>
    </xf>
    <xf numFmtId="0" fontId="41" fillId="12" borderId="7" xfId="0" applyFont="1" applyFill="1" applyBorder="1" applyAlignment="1">
      <alignment horizontal="centerContinuous" vertical="center"/>
    </xf>
    <xf numFmtId="0" fontId="52" fillId="12" borderId="8" xfId="0" applyFont="1" applyFill="1" applyBorder="1" applyAlignment="1">
      <alignment horizontal="centerContinuous" vertical="center"/>
    </xf>
    <xf numFmtId="0" fontId="52" fillId="12" borderId="7" xfId="0" applyFont="1" applyFill="1" applyBorder="1" applyAlignment="1">
      <alignment horizontal="centerContinuous" vertical="center"/>
    </xf>
    <xf numFmtId="0" fontId="0" fillId="4" borderId="6" xfId="0" applyFill="1" applyBorder="1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5" xfId="0" applyFill="1" applyBorder="1" applyAlignment="1">
      <alignment vertical="top"/>
    </xf>
    <xf numFmtId="185" fontId="0" fillId="9" borderId="81" xfId="0" applyNumberFormat="1" applyFill="1" applyBorder="1" applyAlignment="1">
      <alignment horizontal="center"/>
    </xf>
    <xf numFmtId="39" fontId="0" fillId="9" borderId="28" xfId="0" applyNumberFormat="1" applyFill="1" applyBorder="1" applyAlignment="1">
      <alignment horizontal="center"/>
    </xf>
    <xf numFmtId="0" fontId="19" fillId="0" borderId="61" xfId="0" applyFont="1" applyBorder="1" applyAlignment="1">
      <alignment horizontal="center"/>
    </xf>
    <xf numFmtId="0" fontId="23" fillId="0" borderId="51" xfId="0" applyFont="1" applyBorder="1" applyAlignment="1">
      <alignment horizontal="center"/>
    </xf>
    <xf numFmtId="185" fontId="0" fillId="0" borderId="0" xfId="0" applyNumberFormat="1" applyAlignment="1">
      <alignment horizontal="center"/>
    </xf>
    <xf numFmtId="39" fontId="0" fillId="0" borderId="18" xfId="0" applyNumberFormat="1" applyBorder="1" applyAlignment="1">
      <alignment horizontal="center"/>
    </xf>
    <xf numFmtId="185" fontId="0" fillId="0" borderId="1" xfId="0" applyNumberFormat="1" applyBorder="1" applyAlignment="1">
      <alignment horizontal="center"/>
    </xf>
    <xf numFmtId="0" fontId="0" fillId="9" borderId="46" xfId="0" applyFill="1" applyBorder="1" applyAlignment="1">
      <alignment horizontal="center"/>
    </xf>
    <xf numFmtId="0" fontId="76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31" fillId="0" borderId="1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9" fontId="0" fillId="0" borderId="0" xfId="6" applyFont="1" applyBorder="1" applyAlignment="1">
      <alignment horizontal="center"/>
    </xf>
    <xf numFmtId="9" fontId="0" fillId="8" borderId="0" xfId="6" applyFont="1" applyFill="1" applyBorder="1" applyAlignment="1">
      <alignment horizontal="center"/>
    </xf>
    <xf numFmtId="9" fontId="0" fillId="0" borderId="0" xfId="6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0" fillId="13" borderId="57" xfId="0" applyFill="1" applyBorder="1" applyAlignment="1">
      <alignment horizontal="center"/>
    </xf>
    <xf numFmtId="0" fontId="31" fillId="0" borderId="60" xfId="0" applyFont="1" applyBorder="1" applyAlignment="1">
      <alignment horizontal="centerContinuous" vertical="center" wrapText="1"/>
    </xf>
    <xf numFmtId="0" fontId="31" fillId="0" borderId="51" xfId="0" applyFont="1" applyBorder="1" applyAlignment="1">
      <alignment horizontal="centerContinuous" vertic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175" fontId="21" fillId="0" borderId="0" xfId="0" applyNumberFormat="1" applyFont="1" applyAlignment="1">
      <alignment horizontal="right"/>
    </xf>
    <xf numFmtId="167" fontId="0" fillId="0" borderId="0" xfId="0" applyNumberFormat="1" applyAlignment="1">
      <alignment horizontal="left"/>
    </xf>
    <xf numFmtId="167" fontId="21" fillId="0" borderId="0" xfId="0" applyNumberFormat="1" applyFont="1" applyAlignment="1">
      <alignment horizontal="left" wrapText="1"/>
    </xf>
    <xf numFmtId="175" fontId="21" fillId="0" borderId="0" xfId="0" applyNumberFormat="1" applyFont="1" applyAlignment="1">
      <alignment horizontal="right" wrapText="1"/>
    </xf>
    <xf numFmtId="185" fontId="22" fillId="0" borderId="0" xfId="0" applyNumberFormat="1" applyFont="1" applyAlignment="1">
      <alignment horizontal="right" wrapText="1"/>
    </xf>
    <xf numFmtId="186" fontId="22" fillId="0" borderId="0" xfId="0" applyNumberFormat="1" applyFont="1" applyAlignment="1">
      <alignment horizontal="right" wrapText="1"/>
    </xf>
    <xf numFmtId="0" fontId="22" fillId="0" borderId="19" xfId="0" applyFont="1" applyBorder="1" applyAlignment="1">
      <alignment horizontal="center" vertical="center"/>
    </xf>
    <xf numFmtId="0" fontId="22" fillId="4" borderId="40" xfId="0" applyFont="1" applyFill="1" applyBorder="1" applyAlignment="1">
      <alignment vertical="center"/>
    </xf>
    <xf numFmtId="0" fontId="22" fillId="4" borderId="44" xfId="0" applyFont="1" applyFill="1" applyBorder="1" applyAlignment="1">
      <alignment horizontal="center" vertical="center"/>
    </xf>
    <xf numFmtId="0" fontId="22" fillId="4" borderId="41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vertical="center"/>
    </xf>
    <xf numFmtId="0" fontId="22" fillId="4" borderId="20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72" fontId="22" fillId="0" borderId="14" xfId="0" applyNumberFormat="1" applyFont="1" applyBorder="1" applyAlignment="1">
      <alignment horizontal="center" wrapText="1"/>
    </xf>
    <xf numFmtId="0" fontId="0" fillId="0" borderId="6" xfId="0" applyBorder="1" applyAlignment="1">
      <alignment vertical="center"/>
    </xf>
    <xf numFmtId="0" fontId="22" fillId="0" borderId="6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4" borderId="40" xfId="0" applyFont="1" applyFill="1" applyBorder="1" applyAlignment="1">
      <alignment vertical="center" wrapText="1"/>
    </xf>
    <xf numFmtId="0" fontId="22" fillId="4" borderId="44" xfId="0" applyFont="1" applyFill="1" applyBorder="1" applyAlignment="1">
      <alignment horizontal="center" vertical="center" wrapText="1"/>
    </xf>
    <xf numFmtId="0" fontId="22" fillId="4" borderId="41" xfId="0" applyFont="1" applyFill="1" applyBorder="1" applyAlignment="1">
      <alignment horizontal="center" vertical="center" wrapText="1"/>
    </xf>
    <xf numFmtId="1" fontId="22" fillId="4" borderId="41" xfId="0" applyNumberFormat="1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vertical="center" wrapText="1"/>
    </xf>
    <xf numFmtId="0" fontId="22" fillId="4" borderId="20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1" fontId="22" fillId="4" borderId="17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8" fillId="0" borderId="0" xfId="0" applyFont="1"/>
    <xf numFmtId="0" fontId="21" fillId="0" borderId="0" xfId="0" applyFont="1" applyAlignment="1">
      <alignment horizontal="left" vertical="center"/>
    </xf>
    <xf numFmtId="0" fontId="58" fillId="0" borderId="21" xfId="0" applyFont="1" applyBorder="1" applyAlignment="1">
      <alignment horizontal="centerContinuous" vertical="center"/>
    </xf>
    <xf numFmtId="183" fontId="21" fillId="0" borderId="0" xfId="0" applyNumberFormat="1" applyFont="1" applyAlignment="1">
      <alignment horizontal="left" vertical="center"/>
    </xf>
    <xf numFmtId="2" fontId="21" fillId="0" borderId="0" xfId="0" applyNumberFormat="1" applyFont="1" applyAlignment="1">
      <alignment horizontal="left" vertical="center"/>
    </xf>
    <xf numFmtId="2" fontId="21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183" fontId="21" fillId="0" borderId="0" xfId="0" applyNumberFormat="1" applyFont="1" applyAlignment="1">
      <alignment vertical="center"/>
    </xf>
    <xf numFmtId="0" fontId="22" fillId="0" borderId="74" xfId="0" applyFont="1" applyBorder="1" applyAlignment="1">
      <alignment horizontal="center" vertical="center"/>
    </xf>
    <xf numFmtId="0" fontId="22" fillId="0" borderId="75" xfId="0" applyFont="1" applyBorder="1" applyAlignment="1">
      <alignment horizontal="center" vertical="center"/>
    </xf>
    <xf numFmtId="183" fontId="21" fillId="0" borderId="1" xfId="0" applyNumberFormat="1" applyFont="1" applyBorder="1" applyAlignment="1">
      <alignment horizontal="left" vertical="center"/>
    </xf>
    <xf numFmtId="2" fontId="21" fillId="0" borderId="1" xfId="0" applyNumberFormat="1" applyFont="1" applyBorder="1" applyAlignment="1">
      <alignment horizontal="left" vertical="center"/>
    </xf>
    <xf numFmtId="2" fontId="21" fillId="0" borderId="1" xfId="0" applyNumberFormat="1" applyFont="1" applyBorder="1" applyAlignment="1">
      <alignment vertical="center"/>
    </xf>
    <xf numFmtId="0" fontId="22" fillId="4" borderId="28" xfId="0" applyFont="1" applyFill="1" applyBorder="1" applyAlignment="1">
      <alignment horizontal="center" vertical="center"/>
    </xf>
    <xf numFmtId="0" fontId="21" fillId="0" borderId="62" xfId="0" applyFont="1" applyBorder="1" applyAlignment="1">
      <alignment horizontal="left" vertical="center"/>
    </xf>
    <xf numFmtId="0" fontId="22" fillId="0" borderId="6" xfId="0" applyFont="1" applyBorder="1" applyAlignment="1">
      <alignment vertical="center"/>
    </xf>
    <xf numFmtId="2" fontId="21" fillId="6" borderId="12" xfId="0" applyNumberFormat="1" applyFont="1" applyFill="1" applyBorder="1" applyAlignment="1">
      <alignment vertical="center"/>
    </xf>
    <xf numFmtId="183" fontId="21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2" fillId="4" borderId="31" xfId="0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22" fillId="0" borderId="17" xfId="0" applyFont="1" applyBorder="1" applyAlignment="1">
      <alignment horizontal="center" vertical="center"/>
    </xf>
    <xf numFmtId="0" fontId="22" fillId="4" borderId="76" xfId="0" applyFont="1" applyFill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51" fillId="12" borderId="38" xfId="0" applyFont="1" applyFill="1" applyBorder="1" applyAlignment="1">
      <alignment horizontal="centerContinuous"/>
    </xf>
    <xf numFmtId="0" fontId="58" fillId="0" borderId="5" xfId="0" applyFont="1" applyBorder="1" applyAlignment="1">
      <alignment horizontal="centerContinuous" vertical="center"/>
    </xf>
    <xf numFmtId="0" fontId="31" fillId="0" borderId="14" xfId="0" applyFont="1" applyBorder="1" applyAlignment="1">
      <alignment horizontal="centerContinuous" vertical="center"/>
    </xf>
    <xf numFmtId="0" fontId="22" fillId="0" borderId="82" xfId="0" applyFont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4" borderId="32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4" borderId="83" xfId="0" applyFont="1" applyFill="1" applyBorder="1" applyAlignment="1">
      <alignment horizontal="center" vertical="center"/>
    </xf>
    <xf numFmtId="0" fontId="22" fillId="4" borderId="45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34" fillId="0" borderId="0" xfId="2" applyFont="1"/>
    <xf numFmtId="0" fontId="0" fillId="0" borderId="0" xfId="2" applyFont="1" applyAlignment="1">
      <alignment vertical="center"/>
    </xf>
    <xf numFmtId="0" fontId="22" fillId="4" borderId="39" xfId="2" applyFont="1" applyFill="1" applyBorder="1" applyAlignment="1">
      <alignment horizontal="left" vertical="center" wrapText="1"/>
    </xf>
    <xf numFmtId="0" fontId="22" fillId="4" borderId="25" xfId="2" applyFont="1" applyFill="1" applyBorder="1" applyAlignment="1">
      <alignment horizontal="center" vertical="center" wrapText="1"/>
    </xf>
    <xf numFmtId="185" fontId="60" fillId="0" borderId="0" xfId="9" applyNumberFormat="1" applyFont="1" applyAlignment="1">
      <alignment horizontal="right"/>
    </xf>
    <xf numFmtId="0" fontId="60" fillId="0" borderId="0" xfId="0" applyFont="1" applyAlignment="1">
      <alignment horizontal="center"/>
    </xf>
    <xf numFmtId="167" fontId="43" fillId="0" borderId="0" xfId="0" applyNumberFormat="1" applyFont="1" applyAlignment="1">
      <alignment horizontal="left"/>
    </xf>
    <xf numFmtId="2" fontId="43" fillId="0" borderId="0" xfId="0" applyNumberFormat="1" applyFont="1" applyAlignment="1">
      <alignment horizontal="left"/>
    </xf>
    <xf numFmtId="174" fontId="43" fillId="0" borderId="0" xfId="0" applyNumberFormat="1" applyFont="1" applyAlignment="1">
      <alignment horizontal="left"/>
    </xf>
    <xf numFmtId="0" fontId="8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60" fillId="0" borderId="0" xfId="0" applyFont="1" applyAlignment="1">
      <alignment horizontal="centerContinuous" vertical="center"/>
    </xf>
    <xf numFmtId="185" fontId="43" fillId="0" borderId="0" xfId="9" applyNumberFormat="1" applyFont="1" applyAlignment="1">
      <alignment horizontal="right"/>
    </xf>
    <xf numFmtId="0" fontId="77" fillId="0" borderId="0" xfId="0" applyFont="1" applyAlignment="1">
      <alignment horizontal="centerContinuous" vertical="center"/>
    </xf>
    <xf numFmtId="179" fontId="22" fillId="0" borderId="5" xfId="0" applyNumberFormat="1" applyFont="1" applyBorder="1" applyAlignment="1">
      <alignment horizontal="right"/>
    </xf>
    <xf numFmtId="0" fontId="60" fillId="4" borderId="24" xfId="9" applyFont="1" applyFill="1" applyBorder="1" applyAlignment="1">
      <alignment horizontal="left"/>
    </xf>
    <xf numFmtId="179" fontId="22" fillId="4" borderId="37" xfId="0" applyNumberFormat="1" applyFont="1" applyFill="1" applyBorder="1" applyAlignment="1">
      <alignment horizontal="right"/>
    </xf>
    <xf numFmtId="0" fontId="60" fillId="0" borderId="19" xfId="0" applyFont="1" applyBorder="1" applyAlignment="1">
      <alignment horizontal="center"/>
    </xf>
    <xf numFmtId="0" fontId="60" fillId="4" borderId="25" xfId="9" applyFont="1" applyFill="1" applyBorder="1" applyAlignment="1">
      <alignment horizontal="center"/>
    </xf>
    <xf numFmtId="0" fontId="60" fillId="4" borderId="41" xfId="0" applyFont="1" applyFill="1" applyBorder="1" applyAlignment="1">
      <alignment horizontal="center"/>
    </xf>
    <xf numFmtId="0" fontId="60" fillId="4" borderId="17" xfId="0" applyFont="1" applyFill="1" applyBorder="1" applyAlignment="1">
      <alignment horizontal="center"/>
    </xf>
    <xf numFmtId="179" fontId="22" fillId="0" borderId="19" xfId="0" applyNumberFormat="1" applyFont="1" applyBorder="1" applyAlignment="1">
      <alignment horizontal="right"/>
    </xf>
    <xf numFmtId="179" fontId="22" fillId="4" borderId="25" xfId="0" applyNumberFormat="1" applyFont="1" applyFill="1" applyBorder="1" applyAlignment="1">
      <alignment horizontal="right"/>
    </xf>
    <xf numFmtId="179" fontId="22" fillId="4" borderId="41" xfId="0" applyNumberFormat="1" applyFont="1" applyFill="1" applyBorder="1" applyAlignment="1">
      <alignment horizontal="right"/>
    </xf>
    <xf numFmtId="179" fontId="22" fillId="4" borderId="17" xfId="0" applyNumberFormat="1" applyFont="1" applyFill="1" applyBorder="1" applyAlignment="1">
      <alignment horizontal="right"/>
    </xf>
    <xf numFmtId="0" fontId="60" fillId="0" borderId="25" xfId="0" applyFont="1" applyBorder="1" applyAlignment="1">
      <alignment horizontal="center"/>
    </xf>
    <xf numFmtId="0" fontId="60" fillId="0" borderId="41" xfId="0" applyFont="1" applyBorder="1" applyAlignment="1">
      <alignment horizontal="center"/>
    </xf>
    <xf numFmtId="179" fontId="22" fillId="0" borderId="25" xfId="0" applyNumberFormat="1" applyFont="1" applyBorder="1" applyAlignment="1">
      <alignment horizontal="right"/>
    </xf>
    <xf numFmtId="179" fontId="22" fillId="0" borderId="41" xfId="0" applyNumberFormat="1" applyFont="1" applyBorder="1" applyAlignment="1">
      <alignment horizontal="right"/>
    </xf>
    <xf numFmtId="0" fontId="43" fillId="0" borderId="0" xfId="0" applyFont="1"/>
    <xf numFmtId="0" fontId="60" fillId="0" borderId="0" xfId="0" applyFont="1"/>
    <xf numFmtId="0" fontId="60" fillId="0" borderId="6" xfId="0" applyFont="1" applyBorder="1"/>
    <xf numFmtId="0" fontId="60" fillId="4" borderId="40" xfId="0" applyFont="1" applyFill="1" applyBorder="1"/>
    <xf numFmtId="0" fontId="60" fillId="4" borderId="4" xfId="0" applyFont="1" applyFill="1" applyBorder="1"/>
    <xf numFmtId="0" fontId="8" fillId="0" borderId="6" xfId="0" applyFont="1" applyBorder="1"/>
    <xf numFmtId="0" fontId="78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2" fontId="21" fillId="7" borderId="12" xfId="2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22" fillId="0" borderId="53" xfId="0" applyFont="1" applyBorder="1" applyAlignment="1">
      <alignment horizontal="center"/>
    </xf>
    <xf numFmtId="192" fontId="22" fillId="0" borderId="0" xfId="0" applyNumberFormat="1" applyFont="1" applyAlignment="1">
      <alignment horizontal="right"/>
    </xf>
    <xf numFmtId="9" fontId="0" fillId="0" borderId="0" xfId="3" applyFont="1" applyFill="1"/>
    <xf numFmtId="0" fontId="9" fillId="0" borderId="34" xfId="0" applyFont="1" applyBorder="1" applyAlignment="1">
      <alignment horizontal="centerContinuous" vertical="center"/>
    </xf>
    <xf numFmtId="0" fontId="42" fillId="4" borderId="30" xfId="2" applyFill="1" applyBorder="1" applyAlignment="1">
      <alignment horizontal="center"/>
    </xf>
    <xf numFmtId="0" fontId="22" fillId="4" borderId="31" xfId="2" applyFont="1" applyFill="1" applyBorder="1" applyAlignment="1">
      <alignment horizontal="center"/>
    </xf>
    <xf numFmtId="172" fontId="22" fillId="4" borderId="32" xfId="0" applyNumberFormat="1" applyFont="1" applyFill="1" applyBorder="1" applyAlignment="1">
      <alignment horizontal="center"/>
    </xf>
    <xf numFmtId="9" fontId="49" fillId="0" borderId="0" xfId="3" applyFont="1" applyAlignment="1">
      <alignment horizontal="center"/>
    </xf>
    <xf numFmtId="0" fontId="79" fillId="0" borderId="0" xfId="2" applyFont="1" applyAlignment="1">
      <alignment horizontal="center"/>
    </xf>
    <xf numFmtId="167" fontId="21" fillId="6" borderId="12" xfId="11" applyNumberFormat="1" applyFont="1" applyFill="1" applyBorder="1" applyAlignment="1">
      <alignment horizontal="center"/>
    </xf>
    <xf numFmtId="167" fontId="21" fillId="6" borderId="12" xfId="4" applyNumberFormat="1" applyFont="1" applyFill="1" applyBorder="1" applyAlignment="1">
      <alignment horizontal="center"/>
    </xf>
    <xf numFmtId="165" fontId="21" fillId="0" borderId="0" xfId="0" applyNumberFormat="1" applyFont="1" applyAlignment="1">
      <alignment horizontal="center"/>
    </xf>
    <xf numFmtId="2" fontId="22" fillId="4" borderId="23" xfId="0" applyNumberFormat="1" applyFont="1" applyFill="1" applyBorder="1" applyAlignment="1">
      <alignment horizontal="left"/>
    </xf>
    <xf numFmtId="189" fontId="21" fillId="4" borderId="23" xfId="0" applyNumberFormat="1" applyFont="1" applyFill="1" applyBorder="1" applyAlignment="1">
      <alignment horizontal="right"/>
    </xf>
    <xf numFmtId="189" fontId="22" fillId="4" borderId="35" xfId="0" applyNumberFormat="1" applyFont="1" applyFill="1" applyBorder="1" applyAlignment="1">
      <alignment horizontal="right"/>
    </xf>
    <xf numFmtId="2" fontId="22" fillId="4" borderId="33" xfId="0" applyNumberFormat="1" applyFont="1" applyFill="1" applyBorder="1" applyAlignment="1">
      <alignment horizontal="left"/>
    </xf>
    <xf numFmtId="189" fontId="21" fillId="4" borderId="33" xfId="0" applyNumberFormat="1" applyFont="1" applyFill="1" applyBorder="1" applyAlignment="1">
      <alignment horizontal="right"/>
    </xf>
    <xf numFmtId="189" fontId="22" fillId="4" borderId="44" xfId="0" applyNumberFormat="1" applyFont="1" applyFill="1" applyBorder="1" applyAlignment="1">
      <alignment horizontal="right"/>
    </xf>
    <xf numFmtId="0" fontId="0" fillId="5" borderId="87" xfId="0" applyFill="1" applyBorder="1" applyAlignment="1">
      <alignment horizontal="left"/>
    </xf>
    <xf numFmtId="0" fontId="0" fillId="5" borderId="88" xfId="0" applyFill="1" applyBorder="1" applyAlignment="1">
      <alignment horizontal="left"/>
    </xf>
    <xf numFmtId="0" fontId="0" fillId="5" borderId="89" xfId="0" applyFill="1" applyBorder="1" applyAlignment="1">
      <alignment horizontal="left"/>
    </xf>
    <xf numFmtId="189" fontId="21" fillId="0" borderId="64" xfId="0" applyNumberFormat="1" applyFont="1" applyBorder="1" applyAlignment="1">
      <alignment horizontal="right"/>
    </xf>
    <xf numFmtId="189" fontId="21" fillId="0" borderId="21" xfId="0" applyNumberFormat="1" applyFont="1" applyBorder="1" applyAlignment="1">
      <alignment horizontal="right"/>
    </xf>
    <xf numFmtId="189" fontId="21" fillId="4" borderId="35" xfId="0" applyNumberFormat="1" applyFont="1" applyFill="1" applyBorder="1" applyAlignment="1">
      <alignment horizontal="right"/>
    </xf>
    <xf numFmtId="189" fontId="21" fillId="4" borderId="44" xfId="0" applyNumberFormat="1" applyFont="1" applyFill="1" applyBorder="1" applyAlignment="1">
      <alignment horizontal="right"/>
    </xf>
    <xf numFmtId="194" fontId="22" fillId="4" borderId="33" xfId="0" applyNumberFormat="1" applyFont="1" applyFill="1" applyBorder="1" applyAlignment="1">
      <alignment horizontal="right"/>
    </xf>
    <xf numFmtId="0" fontId="21" fillId="4" borderId="87" xfId="0" applyFont="1" applyFill="1" applyBorder="1"/>
    <xf numFmtId="0" fontId="21" fillId="4" borderId="88" xfId="0" applyFont="1" applyFill="1" applyBorder="1"/>
    <xf numFmtId="194" fontId="22" fillId="4" borderId="23" xfId="0" applyNumberFormat="1" applyFont="1" applyFill="1" applyBorder="1" applyAlignment="1">
      <alignment horizontal="right"/>
    </xf>
    <xf numFmtId="194" fontId="21" fillId="0" borderId="64" xfId="0" applyNumberFormat="1" applyFont="1" applyBorder="1" applyAlignment="1">
      <alignment horizontal="right"/>
    </xf>
    <xf numFmtId="194" fontId="21" fillId="0" borderId="21" xfId="0" applyNumberFormat="1" applyFont="1" applyBorder="1" applyAlignment="1">
      <alignment horizontal="right"/>
    </xf>
    <xf numFmtId="194" fontId="21" fillId="4" borderId="35" xfId="0" applyNumberFormat="1" applyFont="1" applyFill="1" applyBorder="1" applyAlignment="1">
      <alignment horizontal="right"/>
    </xf>
    <xf numFmtId="194" fontId="21" fillId="4" borderId="44" xfId="0" applyNumberFormat="1" applyFont="1" applyFill="1" applyBorder="1" applyAlignment="1">
      <alignment horizontal="right"/>
    </xf>
    <xf numFmtId="194" fontId="21" fillId="0" borderId="63" xfId="0" applyNumberFormat="1" applyFont="1" applyBorder="1" applyAlignment="1">
      <alignment horizontal="right"/>
    </xf>
    <xf numFmtId="194" fontId="21" fillId="0" borderId="56" xfId="0" applyNumberFormat="1" applyFont="1" applyBorder="1" applyAlignment="1">
      <alignment horizontal="right"/>
    </xf>
    <xf numFmtId="194" fontId="21" fillId="4" borderId="77" xfId="0" applyNumberFormat="1" applyFont="1" applyFill="1" applyBorder="1" applyAlignment="1">
      <alignment horizontal="right"/>
    </xf>
    <xf numFmtId="194" fontId="21" fillId="4" borderId="42" xfId="0" applyNumberFormat="1" applyFont="1" applyFill="1" applyBorder="1" applyAlignment="1">
      <alignment horizontal="right"/>
    </xf>
    <xf numFmtId="2" fontId="22" fillId="0" borderId="0" xfId="4" applyNumberFormat="1" applyFont="1" applyAlignment="1">
      <alignment vertical="center"/>
    </xf>
    <xf numFmtId="186" fontId="22" fillId="0" borderId="19" xfId="0" applyNumberFormat="1" applyFont="1" applyBorder="1" applyAlignment="1">
      <alignment horizontal="right"/>
    </xf>
    <xf numFmtId="0" fontId="55" fillId="0" borderId="0" xfId="0" applyFont="1" applyAlignment="1">
      <alignment horizontal="left"/>
    </xf>
    <xf numFmtId="0" fontId="55" fillId="0" borderId="0" xfId="0" applyFont="1" applyAlignment="1">
      <alignment horizontal="right"/>
    </xf>
    <xf numFmtId="186" fontId="21" fillId="0" borderId="0" xfId="0" applyNumberFormat="1" applyFont="1" applyAlignment="1">
      <alignment horizontal="center" vertical="center"/>
    </xf>
    <xf numFmtId="186" fontId="22" fillId="0" borderId="53" xfId="0" applyNumberFormat="1" applyFont="1" applyBorder="1" applyAlignment="1">
      <alignment horizontal="right"/>
    </xf>
    <xf numFmtId="0" fontId="33" fillId="0" borderId="0" xfId="0" applyFont="1" applyAlignment="1">
      <alignment vertical="center"/>
    </xf>
    <xf numFmtId="0" fontId="42" fillId="0" borderId="0" xfId="2" applyAlignment="1">
      <alignment horizontal="left" vertical="center"/>
    </xf>
    <xf numFmtId="0" fontId="39" fillId="0" borderId="0" xfId="0" applyFont="1" applyAlignment="1">
      <alignment vertical="center"/>
    </xf>
    <xf numFmtId="171" fontId="71" fillId="0" borderId="0" xfId="0" applyNumberFormat="1" applyFont="1" applyAlignment="1">
      <alignment horizontal="left" vertical="center"/>
    </xf>
    <xf numFmtId="0" fontId="69" fillId="0" borderId="0" xfId="0" applyFont="1" applyAlignment="1">
      <alignment horizontal="left" vertical="center" readingOrder="1"/>
    </xf>
    <xf numFmtId="0" fontId="47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166" fontId="21" fillId="0" borderId="0" xfId="0" applyNumberFormat="1" applyFont="1" applyAlignment="1">
      <alignment horizontal="center" vertical="center"/>
    </xf>
    <xf numFmtId="165" fontId="21" fillId="0" borderId="0" xfId="0" applyNumberFormat="1" applyFont="1" applyAlignment="1">
      <alignment horizontal="left" vertical="center"/>
    </xf>
    <xf numFmtId="0" fontId="80" fillId="0" borderId="0" xfId="0" applyFont="1" applyAlignment="1">
      <alignment vertical="center"/>
    </xf>
    <xf numFmtId="0" fontId="22" fillId="4" borderId="6" xfId="0" applyFont="1" applyFill="1" applyBorder="1" applyAlignment="1">
      <alignment horizontal="center" wrapText="1"/>
    </xf>
    <xf numFmtId="0" fontId="22" fillId="4" borderId="4" xfId="0" applyFont="1" applyFill="1" applyBorder="1" applyAlignment="1">
      <alignment horizontal="center" wrapText="1"/>
    </xf>
    <xf numFmtId="0" fontId="31" fillId="0" borderId="11" xfId="0" applyFont="1" applyBorder="1" applyAlignment="1">
      <alignment horizontal="center" vertical="center"/>
    </xf>
    <xf numFmtId="179" fontId="0" fillId="4" borderId="14" xfId="2" applyNumberFormat="1" applyFont="1" applyFill="1" applyBorder="1" applyAlignment="1">
      <alignment horizontal="center" wrapText="1"/>
    </xf>
    <xf numFmtId="179" fontId="0" fillId="4" borderId="16" xfId="2" applyNumberFormat="1" applyFont="1" applyFill="1" applyBorder="1" applyAlignment="1">
      <alignment horizontal="center" wrapText="1"/>
    </xf>
    <xf numFmtId="167" fontId="21" fillId="2" borderId="12" xfId="0" applyNumberFormat="1" applyFont="1" applyFill="1" applyBorder="1" applyAlignment="1">
      <alignment horizontal="left"/>
    </xf>
    <xf numFmtId="0" fontId="31" fillId="0" borderId="0" xfId="0" applyFont="1" applyAlignment="1">
      <alignment horizontal="left"/>
    </xf>
    <xf numFmtId="0" fontId="81" fillId="0" borderId="0" xfId="0" applyFont="1"/>
    <xf numFmtId="0" fontId="56" fillId="0" borderId="6" xfId="0" applyFont="1" applyBorder="1"/>
    <xf numFmtId="173" fontId="22" fillId="0" borderId="0" xfId="0" applyNumberFormat="1" applyFont="1" applyAlignment="1">
      <alignment horizontal="right"/>
    </xf>
    <xf numFmtId="173" fontId="22" fillId="0" borderId="5" xfId="0" applyNumberFormat="1" applyFont="1" applyBorder="1" applyAlignment="1">
      <alignment horizontal="right"/>
    </xf>
    <xf numFmtId="0" fontId="25" fillId="0" borderId="0" xfId="0" applyFont="1"/>
    <xf numFmtId="7" fontId="25" fillId="0" borderId="0" xfId="0" applyNumberFormat="1" applyFont="1"/>
    <xf numFmtId="0" fontId="6" fillId="0" borderId="0" xfId="2" applyFont="1" applyAlignment="1">
      <alignment horizontal="left"/>
    </xf>
    <xf numFmtId="0" fontId="6" fillId="0" borderId="0" xfId="2" applyFont="1" applyAlignment="1">
      <alignment vertical="center"/>
    </xf>
    <xf numFmtId="1" fontId="17" fillId="0" borderId="0" xfId="0" applyNumberFormat="1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179" fontId="17" fillId="0" borderId="5" xfId="0" applyNumberFormat="1" applyFont="1" applyBorder="1"/>
    <xf numFmtId="0" fontId="6" fillId="4" borderId="39" xfId="2" applyFont="1" applyFill="1" applyBorder="1" applyAlignment="1">
      <alignment horizontal="left"/>
    </xf>
    <xf numFmtId="0" fontId="6" fillId="4" borderId="25" xfId="2" applyFont="1" applyFill="1" applyBorder="1" applyAlignment="1">
      <alignment horizontal="center"/>
    </xf>
    <xf numFmtId="179" fontId="6" fillId="4" borderId="26" xfId="2" applyNumberFormat="1" applyFont="1" applyFill="1" applyBorder="1" applyAlignment="1">
      <alignment horizontal="right"/>
    </xf>
    <xf numFmtId="0" fontId="6" fillId="4" borderId="24" xfId="2" applyFont="1" applyFill="1" applyBorder="1" applyAlignment="1">
      <alignment horizontal="left"/>
    </xf>
    <xf numFmtId="0" fontId="6" fillId="4" borderId="23" xfId="2" applyFont="1" applyFill="1" applyBorder="1" applyAlignment="1">
      <alignment horizontal="center"/>
    </xf>
    <xf numFmtId="3" fontId="6" fillId="4" borderId="25" xfId="2" applyNumberFormat="1" applyFont="1" applyFill="1" applyBorder="1" applyAlignment="1">
      <alignment horizontal="center"/>
    </xf>
    <xf numFmtId="179" fontId="6" fillId="4" borderId="37" xfId="2" applyNumberFormat="1" applyFont="1" applyFill="1" applyBorder="1" applyAlignment="1">
      <alignment horizontal="right"/>
    </xf>
    <xf numFmtId="0" fontId="17" fillId="0" borderId="0" xfId="0" applyFont="1" applyAlignment="1">
      <alignment vertical="center"/>
    </xf>
    <xf numFmtId="1" fontId="17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179" fontId="22" fillId="0" borderId="14" xfId="0" applyNumberFormat="1" applyFont="1" applyBorder="1" applyAlignment="1">
      <alignment horizontal="center"/>
    </xf>
    <xf numFmtId="179" fontId="22" fillId="0" borderId="16" xfId="0" applyNumberFormat="1" applyFont="1" applyBorder="1" applyAlignment="1">
      <alignment horizontal="center"/>
    </xf>
    <xf numFmtId="179" fontId="22" fillId="0" borderId="64" xfId="0" applyNumberFormat="1" applyFont="1" applyBorder="1" applyAlignment="1">
      <alignment horizontal="center"/>
    </xf>
    <xf numFmtId="179" fontId="22" fillId="0" borderId="21" xfId="0" applyNumberFormat="1" applyFont="1" applyBorder="1" applyAlignment="1">
      <alignment horizontal="center"/>
    </xf>
    <xf numFmtId="0" fontId="0" fillId="4" borderId="90" xfId="0" applyFill="1" applyBorder="1" applyAlignment="1">
      <alignment horizontal="center"/>
    </xf>
    <xf numFmtId="0" fontId="0" fillId="4" borderId="81" xfId="0" applyFill="1" applyBorder="1" applyAlignment="1">
      <alignment horizontal="center"/>
    </xf>
    <xf numFmtId="179" fontId="22" fillId="4" borderId="29" xfId="0" applyNumberFormat="1" applyFont="1" applyFill="1" applyBorder="1" applyAlignment="1">
      <alignment horizontal="center"/>
    </xf>
    <xf numFmtId="0" fontId="22" fillId="4" borderId="27" xfId="0" quotePrefix="1" applyFont="1" applyFill="1" applyBorder="1" applyAlignment="1">
      <alignment horizontal="center"/>
    </xf>
    <xf numFmtId="0" fontId="0" fillId="4" borderId="46" xfId="0" applyFill="1" applyBorder="1" applyAlignment="1">
      <alignment horizontal="center"/>
    </xf>
    <xf numFmtId="179" fontId="22" fillId="4" borderId="46" xfId="0" applyNumberFormat="1" applyFont="1" applyFill="1" applyBorder="1" applyAlignment="1">
      <alignment horizontal="center"/>
    </xf>
    <xf numFmtId="0" fontId="22" fillId="4" borderId="30" xfId="0" quotePrefix="1" applyFont="1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179" fontId="22" fillId="4" borderId="47" xfId="0" applyNumberFormat="1" applyFont="1" applyFill="1" applyBorder="1" applyAlignment="1">
      <alignment horizontal="center"/>
    </xf>
    <xf numFmtId="179" fontId="22" fillId="4" borderId="32" xfId="0" applyNumberFormat="1" applyFont="1" applyFill="1" applyBorder="1" applyAlignment="1">
      <alignment horizontal="center"/>
    </xf>
    <xf numFmtId="0" fontId="48" fillId="10" borderId="0" xfId="4" applyFont="1" applyFill="1"/>
    <xf numFmtId="0" fontId="22" fillId="10" borderId="0" xfId="4" applyFont="1" applyFill="1"/>
    <xf numFmtId="0" fontId="17" fillId="10" borderId="0" xfId="4" applyFill="1"/>
    <xf numFmtId="0" fontId="83" fillId="0" borderId="0" xfId="0" applyFont="1" applyAlignment="1">
      <alignment horizontal="left" vertical="center" indent="1"/>
    </xf>
    <xf numFmtId="0" fontId="82" fillId="0" borderId="0" xfId="0" applyFont="1" applyAlignment="1">
      <alignment horizontal="left" indent="1"/>
    </xf>
    <xf numFmtId="169" fontId="22" fillId="0" borderId="0" xfId="0" applyNumberFormat="1" applyFont="1" applyAlignment="1">
      <alignment horizontal="center" vertical="center"/>
    </xf>
    <xf numFmtId="169" fontId="22" fillId="0" borderId="1" xfId="0" applyNumberFormat="1" applyFont="1" applyBorder="1" applyAlignment="1">
      <alignment horizontal="center" vertical="center"/>
    </xf>
    <xf numFmtId="185" fontId="21" fillId="0" borderId="0" xfId="0" applyNumberFormat="1" applyFont="1" applyAlignment="1">
      <alignment horizontal="center"/>
    </xf>
    <xf numFmtId="2" fontId="0" fillId="0" borderId="0" xfId="0" applyNumberFormat="1" applyAlignment="1">
      <alignment wrapText="1"/>
    </xf>
    <xf numFmtId="2" fontId="22" fillId="4" borderId="23" xfId="2" applyNumberFormat="1" applyFont="1" applyFill="1" applyBorder="1" applyAlignment="1">
      <alignment horizontal="right" vertical="center" wrapText="1"/>
    </xf>
    <xf numFmtId="185" fontId="22" fillId="0" borderId="0" xfId="0" applyNumberFormat="1" applyFont="1" applyAlignment="1">
      <alignment horizontal="left"/>
    </xf>
    <xf numFmtId="0" fontId="0" fillId="0" borderId="6" xfId="0" applyBorder="1" applyAlignment="1">
      <alignment horizontal="center" vertical="center"/>
    </xf>
    <xf numFmtId="179" fontId="22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9" fontId="22" fillId="0" borderId="2" xfId="0" applyNumberFormat="1" applyFont="1" applyBorder="1" applyAlignment="1">
      <alignment horizontal="center" vertical="center"/>
    </xf>
    <xf numFmtId="0" fontId="31" fillId="0" borderId="18" xfId="0" applyFont="1" applyBorder="1" applyAlignment="1">
      <alignment horizontal="centerContinuous" vertical="center"/>
    </xf>
    <xf numFmtId="0" fontId="31" fillId="0" borderId="15" xfId="0" applyFont="1" applyBorder="1" applyAlignment="1">
      <alignment horizontal="centerContinuous" vertical="center"/>
    </xf>
    <xf numFmtId="9" fontId="0" fillId="0" borderId="0" xfId="6" applyFont="1" applyAlignment="1"/>
    <xf numFmtId="0" fontId="26" fillId="0" borderId="0" xfId="0" applyFont="1"/>
    <xf numFmtId="0" fontId="19" fillId="0" borderId="11" xfId="0" applyFont="1" applyBorder="1" applyAlignment="1">
      <alignment horizontal="center"/>
    </xf>
    <xf numFmtId="178" fontId="19" fillId="0" borderId="18" xfId="0" applyNumberFormat="1" applyFont="1" applyBorder="1" applyAlignment="1">
      <alignment horizontal="center"/>
    </xf>
    <xf numFmtId="178" fontId="19" fillId="0" borderId="10" xfId="0" applyNumberFormat="1" applyFont="1" applyBorder="1" applyAlignment="1">
      <alignment horizontal="center"/>
    </xf>
    <xf numFmtId="193" fontId="21" fillId="8" borderId="12" xfId="0" applyNumberFormat="1" applyFont="1" applyFill="1" applyBorder="1" applyAlignment="1">
      <alignment horizontal="center"/>
    </xf>
    <xf numFmtId="193" fontId="21" fillId="8" borderId="91" xfId="0" applyNumberFormat="1" applyFont="1" applyFill="1" applyBorder="1" applyAlignment="1">
      <alignment horizontal="center"/>
    </xf>
    <xf numFmtId="9" fontId="24" fillId="0" borderId="0" xfId="6" applyFont="1"/>
    <xf numFmtId="9" fontId="0" fillId="0" borderId="0" xfId="6" applyFont="1" applyAlignment="1">
      <alignment wrapText="1"/>
    </xf>
    <xf numFmtId="179" fontId="22" fillId="4" borderId="45" xfId="0" applyNumberFormat="1" applyFont="1" applyFill="1" applyBorder="1" applyAlignment="1">
      <alignment horizontal="right" vertical="center"/>
    </xf>
    <xf numFmtId="179" fontId="22" fillId="4" borderId="16" xfId="0" applyNumberFormat="1" applyFont="1" applyFill="1" applyBorder="1" applyAlignment="1">
      <alignment horizontal="right" vertical="center"/>
    </xf>
    <xf numFmtId="195" fontId="21" fillId="0" borderId="0" xfId="0" applyNumberFormat="1" applyFont="1" applyAlignment="1">
      <alignment horizontal="right" vertical="center"/>
    </xf>
    <xf numFmtId="166" fontId="50" fillId="0" borderId="0" xfId="4" applyNumberFormat="1" applyFont="1" applyAlignment="1">
      <alignment horizontal="left" vertical="center"/>
    </xf>
    <xf numFmtId="0" fontId="5" fillId="0" borderId="0" xfId="2" applyFont="1"/>
    <xf numFmtId="0" fontId="59" fillId="0" borderId="18" xfId="2" applyFont="1" applyBorder="1" applyAlignment="1">
      <alignment horizontal="center"/>
    </xf>
    <xf numFmtId="0" fontId="59" fillId="0" borderId="1" xfId="2" applyFont="1" applyBorder="1" applyAlignment="1">
      <alignment horizontal="center"/>
    </xf>
    <xf numFmtId="0" fontId="31" fillId="0" borderId="34" xfId="4" applyFont="1" applyBorder="1" applyAlignment="1">
      <alignment horizontal="center" vertical="center"/>
    </xf>
    <xf numFmtId="0" fontId="31" fillId="0" borderId="15" xfId="4" applyFont="1" applyBorder="1" applyAlignment="1">
      <alignment horizontal="center" vertical="center"/>
    </xf>
    <xf numFmtId="0" fontId="59" fillId="0" borderId="62" xfId="2" applyFont="1" applyBorder="1" applyAlignment="1">
      <alignment horizontal="centerContinuous" vertical="center"/>
    </xf>
    <xf numFmtId="0" fontId="58" fillId="0" borderId="62" xfId="0" applyFont="1" applyBorder="1" applyAlignment="1">
      <alignment horizontal="centerContinuous"/>
    </xf>
    <xf numFmtId="0" fontId="24" fillId="0" borderId="6" xfId="0" applyFont="1" applyBorder="1"/>
    <xf numFmtId="0" fontId="19" fillId="0" borderId="52" xfId="0" applyFont="1" applyBorder="1" applyAlignment="1">
      <alignment horizontal="center"/>
    </xf>
    <xf numFmtId="0" fontId="41" fillId="12" borderId="9" xfId="0" applyFont="1" applyFill="1" applyBorder="1" applyAlignment="1">
      <alignment horizontal="centerContinuous" vertical="center"/>
    </xf>
    <xf numFmtId="0" fontId="21" fillId="0" borderId="53" xfId="0" applyFont="1" applyBorder="1" applyAlignment="1">
      <alignment horizontal="center"/>
    </xf>
    <xf numFmtId="0" fontId="21" fillId="4" borderId="28" xfId="0" applyFont="1" applyFill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4" borderId="92" xfId="0" applyFont="1" applyFill="1" applyBorder="1" applyAlignment="1">
      <alignment horizontal="center"/>
    </xf>
    <xf numFmtId="172" fontId="22" fillId="0" borderId="5" xfId="0" applyNumberFormat="1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4" borderId="0" xfId="0" applyFill="1" applyAlignment="1">
      <alignment horizontal="centerContinuous"/>
    </xf>
    <xf numFmtId="0" fontId="0" fillId="4" borderId="2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vertical="center"/>
    </xf>
    <xf numFmtId="0" fontId="0" fillId="4" borderId="5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172" fontId="22" fillId="4" borderId="37" xfId="0" applyNumberFormat="1" applyFont="1" applyFill="1" applyBorder="1" applyAlignment="1">
      <alignment horizontal="center" vertical="center"/>
    </xf>
    <xf numFmtId="172" fontId="22" fillId="4" borderId="5" xfId="0" applyNumberFormat="1" applyFont="1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172" fontId="22" fillId="4" borderId="4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2" fontId="22" fillId="2" borderId="58" xfId="0" applyNumberFormat="1" applyFont="1" applyFill="1" applyBorder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165" fontId="21" fillId="0" borderId="1" xfId="0" applyNumberFormat="1" applyFont="1" applyBorder="1" applyAlignment="1">
      <alignment vertical="center"/>
    </xf>
    <xf numFmtId="2" fontId="22" fillId="0" borderId="1" xfId="0" applyNumberFormat="1" applyFont="1" applyBorder="1" applyAlignment="1">
      <alignment horizontal="center" vertical="center"/>
    </xf>
    <xf numFmtId="2" fontId="21" fillId="2" borderId="58" xfId="0" applyNumberFormat="1" applyFont="1" applyFill="1" applyBorder="1" applyAlignment="1">
      <alignment horizontal="center" vertical="center"/>
    </xf>
    <xf numFmtId="172" fontId="22" fillId="4" borderId="0" xfId="0" applyNumberFormat="1" applyFont="1" applyFill="1" applyAlignment="1">
      <alignment horizontal="center" vertical="center"/>
    </xf>
    <xf numFmtId="172" fontId="22" fillId="4" borderId="19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2" fontId="21" fillId="4" borderId="41" xfId="0" applyNumberFormat="1" applyFont="1" applyFill="1" applyBorder="1" applyAlignment="1">
      <alignment horizontal="center"/>
    </xf>
    <xf numFmtId="172" fontId="21" fillId="4" borderId="45" xfId="0" applyNumberFormat="1" applyFont="1" applyFill="1" applyBorder="1" applyAlignment="1">
      <alignment horizontal="center"/>
    </xf>
    <xf numFmtId="172" fontId="21" fillId="0" borderId="41" xfId="0" applyNumberFormat="1" applyFont="1" applyBorder="1" applyAlignment="1">
      <alignment horizontal="center"/>
    </xf>
    <xf numFmtId="172" fontId="21" fillId="0" borderId="45" xfId="0" applyNumberFormat="1" applyFont="1" applyBorder="1" applyAlignment="1">
      <alignment horizontal="center"/>
    </xf>
    <xf numFmtId="0" fontId="22" fillId="0" borderId="6" xfId="0" applyFont="1" applyBorder="1" applyAlignment="1">
      <alignment horizontal="left" vertical="center"/>
    </xf>
    <xf numFmtId="0" fontId="22" fillId="0" borderId="21" xfId="0" applyFont="1" applyBorder="1" applyAlignment="1">
      <alignment horizontal="center" vertical="center"/>
    </xf>
    <xf numFmtId="1" fontId="22" fillId="0" borderId="21" xfId="0" applyNumberFormat="1" applyFont="1" applyBorder="1" applyAlignment="1">
      <alignment horizontal="center" vertical="center"/>
    </xf>
    <xf numFmtId="179" fontId="22" fillId="0" borderId="22" xfId="0" applyNumberFormat="1" applyFont="1" applyBorder="1" applyAlignment="1">
      <alignment horizontal="right" vertical="center"/>
    </xf>
    <xf numFmtId="179" fontId="0" fillId="0" borderId="14" xfId="0" applyNumberFormat="1" applyBorder="1" applyAlignment="1">
      <alignment vertical="center"/>
    </xf>
    <xf numFmtId="0" fontId="42" fillId="4" borderId="24" xfId="2" applyFill="1" applyBorder="1" applyAlignment="1">
      <alignment horizontal="left" vertical="center"/>
    </xf>
    <xf numFmtId="0" fontId="42" fillId="4" borderId="35" xfId="2" applyFill="1" applyBorder="1" applyAlignment="1">
      <alignment horizontal="center" vertical="center"/>
    </xf>
    <xf numFmtId="0" fontId="42" fillId="4" borderId="25" xfId="2" applyFill="1" applyBorder="1" applyAlignment="1">
      <alignment horizontal="center" vertical="center"/>
    </xf>
    <xf numFmtId="0" fontId="60" fillId="4" borderId="35" xfId="2" applyFont="1" applyFill="1" applyBorder="1" applyAlignment="1">
      <alignment horizontal="center" vertical="center"/>
    </xf>
    <xf numFmtId="179" fontId="42" fillId="4" borderId="26" xfId="2" applyNumberFormat="1" applyFill="1" applyBorder="1" applyAlignment="1">
      <alignment horizontal="right" vertical="center"/>
    </xf>
    <xf numFmtId="1" fontId="22" fillId="4" borderId="44" xfId="0" applyNumberFormat="1" applyFont="1" applyFill="1" applyBorder="1" applyAlignment="1">
      <alignment horizontal="center" vertical="center"/>
    </xf>
    <xf numFmtId="1" fontId="22" fillId="4" borderId="20" xfId="0" applyNumberFormat="1" applyFont="1" applyFill="1" applyBorder="1" applyAlignment="1">
      <alignment horizontal="center" vertical="center"/>
    </xf>
    <xf numFmtId="0" fontId="41" fillId="12" borderId="9" xfId="0" applyFont="1" applyFill="1" applyBorder="1" applyAlignment="1">
      <alignment horizontal="centerContinuous"/>
    </xf>
    <xf numFmtId="166" fontId="41" fillId="12" borderId="9" xfId="0" applyNumberFormat="1" applyFont="1" applyFill="1" applyBorder="1" applyAlignment="1">
      <alignment horizontal="centerContinuous" vertical="center"/>
    </xf>
    <xf numFmtId="0" fontId="22" fillId="0" borderId="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4" borderId="40" xfId="0" applyFont="1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7" xfId="0" applyBorder="1" applyAlignment="1">
      <alignment vertical="center"/>
    </xf>
    <xf numFmtId="0" fontId="22" fillId="0" borderId="53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179" fontId="22" fillId="0" borderId="16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0" fillId="4" borderId="69" xfId="0" applyFill="1" applyBorder="1" applyAlignment="1">
      <alignment horizontal="center"/>
    </xf>
    <xf numFmtId="172" fontId="22" fillId="4" borderId="62" xfId="0" applyNumberFormat="1" applyFont="1" applyFill="1" applyBorder="1" applyAlignment="1">
      <alignment horizontal="center" vertical="center"/>
    </xf>
    <xf numFmtId="172" fontId="22" fillId="4" borderId="53" xfId="0" applyNumberFormat="1" applyFont="1" applyFill="1" applyBorder="1" applyAlignment="1">
      <alignment horizontal="center" vertical="center"/>
    </xf>
    <xf numFmtId="172" fontId="22" fillId="4" borderId="80" xfId="0" applyNumberFormat="1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/>
    </xf>
    <xf numFmtId="172" fontId="22" fillId="4" borderId="1" xfId="0" applyNumberFormat="1" applyFont="1" applyFill="1" applyBorder="1" applyAlignment="1">
      <alignment horizontal="center" vertical="center"/>
    </xf>
    <xf numFmtId="172" fontId="22" fillId="4" borderId="18" xfId="0" applyNumberFormat="1" applyFont="1" applyFill="1" applyBorder="1" applyAlignment="1">
      <alignment horizontal="center" vertical="center"/>
    </xf>
    <xf numFmtId="172" fontId="22" fillId="4" borderId="10" xfId="0" applyNumberFormat="1" applyFont="1" applyFill="1" applyBorder="1" applyAlignment="1">
      <alignment horizontal="center" vertical="center"/>
    </xf>
    <xf numFmtId="0" fontId="0" fillId="4" borderId="1" xfId="0" applyFill="1" applyBorder="1"/>
    <xf numFmtId="172" fontId="22" fillId="4" borderId="34" xfId="0" applyNumberFormat="1" applyFont="1" applyFill="1" applyBorder="1" applyAlignment="1">
      <alignment horizontal="centerContinuous"/>
    </xf>
    <xf numFmtId="0" fontId="31" fillId="4" borderId="34" xfId="0" applyFont="1" applyFill="1" applyBorder="1" applyAlignment="1">
      <alignment horizontal="right"/>
    </xf>
    <xf numFmtId="0" fontId="0" fillId="4" borderId="18" xfId="0" applyFill="1" applyBorder="1" applyAlignment="1">
      <alignment horizontal="center"/>
    </xf>
    <xf numFmtId="172" fontId="22" fillId="4" borderId="34" xfId="0" applyNumberFormat="1" applyFont="1" applyFill="1" applyBorder="1" applyAlignment="1">
      <alignment horizontal="center"/>
    </xf>
    <xf numFmtId="172" fontId="22" fillId="4" borderId="15" xfId="0" applyNumberFormat="1" applyFont="1" applyFill="1" applyBorder="1" applyAlignment="1">
      <alignment horizontal="center"/>
    </xf>
    <xf numFmtId="0" fontId="0" fillId="4" borderId="62" xfId="0" applyFill="1" applyBorder="1"/>
    <xf numFmtId="172" fontId="22" fillId="4" borderId="64" xfId="0" applyNumberFormat="1" applyFont="1" applyFill="1" applyBorder="1" applyAlignment="1">
      <alignment horizontal="centerContinuous"/>
    </xf>
    <xf numFmtId="0" fontId="31" fillId="4" borderId="64" xfId="0" applyFont="1" applyFill="1" applyBorder="1" applyAlignment="1">
      <alignment horizontal="right"/>
    </xf>
    <xf numFmtId="0" fontId="0" fillId="4" borderId="53" xfId="0" applyFill="1" applyBorder="1" applyAlignment="1">
      <alignment horizontal="center"/>
    </xf>
    <xf numFmtId="172" fontId="22" fillId="4" borderId="64" xfId="0" applyNumberFormat="1" applyFont="1" applyFill="1" applyBorder="1" applyAlignment="1">
      <alignment horizontal="center"/>
    </xf>
    <xf numFmtId="172" fontId="22" fillId="4" borderId="80" xfId="0" applyNumberFormat="1" applyFont="1" applyFill="1" applyBorder="1" applyAlignment="1">
      <alignment horizontal="center"/>
    </xf>
    <xf numFmtId="172" fontId="22" fillId="4" borderId="18" xfId="0" applyNumberFormat="1" applyFont="1" applyFill="1" applyBorder="1" applyAlignment="1">
      <alignment horizontal="center"/>
    </xf>
    <xf numFmtId="172" fontId="22" fillId="4" borderId="10" xfId="0" applyNumberFormat="1" applyFont="1" applyFill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0" fillId="4" borderId="80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172" fontId="31" fillId="4" borderId="64" xfId="0" applyNumberFormat="1" applyFont="1" applyFill="1" applyBorder="1" applyAlignment="1">
      <alignment horizontal="right"/>
    </xf>
    <xf numFmtId="172" fontId="31" fillId="4" borderId="34" xfId="0" applyNumberFormat="1" applyFont="1" applyFill="1" applyBorder="1" applyAlignment="1">
      <alignment horizontal="right"/>
    </xf>
    <xf numFmtId="170" fontId="22" fillId="0" borderId="19" xfId="0" applyNumberFormat="1" applyFont="1" applyBorder="1" applyAlignment="1">
      <alignment horizontal="center"/>
    </xf>
    <xf numFmtId="0" fontId="0" fillId="4" borderId="0" xfId="0" applyFill="1" applyAlignment="1">
      <alignment horizontal="centerContinuous" vertical="top"/>
    </xf>
    <xf numFmtId="0" fontId="0" fillId="4" borderId="11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4" borderId="34" xfId="0" applyFill="1" applyBorder="1" applyAlignment="1">
      <alignment horizontal="center" vertical="top"/>
    </xf>
    <xf numFmtId="0" fontId="0" fillId="4" borderId="18" xfId="0" applyFill="1" applyBorder="1" applyAlignment="1">
      <alignment vertical="top"/>
    </xf>
    <xf numFmtId="0" fontId="0" fillId="4" borderId="52" xfId="0" applyFill="1" applyBorder="1" applyAlignment="1">
      <alignment vertical="top"/>
    </xf>
    <xf numFmtId="0" fontId="0" fillId="4" borderId="48" xfId="0" applyFill="1" applyBorder="1" applyAlignment="1">
      <alignment horizontal="centerContinuous" vertical="top"/>
    </xf>
    <xf numFmtId="0" fontId="0" fillId="4" borderId="62" xfId="0" applyFill="1" applyBorder="1" applyAlignment="1">
      <alignment horizontal="centerContinuous" vertical="top"/>
    </xf>
    <xf numFmtId="168" fontId="22" fillId="4" borderId="64" xfId="0" applyNumberFormat="1" applyFont="1" applyFill="1" applyBorder="1" applyAlignment="1">
      <alignment horizontal="center"/>
    </xf>
    <xf numFmtId="168" fontId="22" fillId="4" borderId="62" xfId="0" applyNumberFormat="1" applyFont="1" applyFill="1" applyBorder="1" applyAlignment="1">
      <alignment horizontal="center"/>
    </xf>
    <xf numFmtId="170" fontId="22" fillId="4" borderId="53" xfId="0" applyNumberFormat="1" applyFont="1" applyFill="1" applyBorder="1" applyAlignment="1">
      <alignment horizontal="center"/>
    </xf>
    <xf numFmtId="0" fontId="44" fillId="0" borderId="0" xfId="0" applyFont="1" applyAlignment="1">
      <alignment horizontal="left" vertical="center" readingOrder="1"/>
    </xf>
    <xf numFmtId="0" fontId="84" fillId="0" borderId="0" xfId="0" applyFont="1" applyAlignment="1">
      <alignment vertical="center"/>
    </xf>
    <xf numFmtId="0" fontId="85" fillId="0" borderId="0" xfId="0" applyFont="1" applyAlignment="1">
      <alignment vertical="center"/>
    </xf>
    <xf numFmtId="0" fontId="84" fillId="0" borderId="0" xfId="0" applyFont="1"/>
    <xf numFmtId="0" fontId="0" fillId="0" borderId="54" xfId="0" applyBorder="1" applyAlignment="1">
      <alignment horizontal="centerContinuous"/>
    </xf>
    <xf numFmtId="0" fontId="74" fillId="0" borderId="0" xfId="0" applyFont="1" applyAlignment="1">
      <alignment horizontal="left"/>
    </xf>
    <xf numFmtId="193" fontId="0" fillId="15" borderId="93" xfId="0" applyNumberFormat="1" applyFill="1" applyBorder="1" applyAlignment="1">
      <alignment horizontal="center" vertical="center"/>
    </xf>
    <xf numFmtId="0" fontId="17" fillId="0" borderId="0" xfId="12"/>
    <xf numFmtId="0" fontId="5" fillId="0" borderId="0" xfId="13"/>
    <xf numFmtId="0" fontId="5" fillId="0" borderId="0" xfId="14"/>
    <xf numFmtId="0" fontId="17" fillId="0" borderId="0" xfId="12" applyAlignment="1">
      <alignment horizontal="center"/>
    </xf>
    <xf numFmtId="0" fontId="20" fillId="0" borderId="0" xfId="12" applyFont="1"/>
    <xf numFmtId="0" fontId="87" fillId="0" borderId="0" xfId="15" applyFont="1"/>
    <xf numFmtId="0" fontId="75" fillId="0" borderId="0" xfId="16" applyFont="1"/>
    <xf numFmtId="0" fontId="24" fillId="0" borderId="0" xfId="12" applyFont="1"/>
    <xf numFmtId="0" fontId="21" fillId="0" borderId="0" xfId="13" applyFont="1" applyAlignment="1">
      <alignment horizontal="left"/>
    </xf>
    <xf numFmtId="0" fontId="17" fillId="0" borderId="0" xfId="12" applyAlignment="1">
      <alignment horizontal="left" vertical="center" wrapText="1"/>
    </xf>
    <xf numFmtId="0" fontId="5" fillId="0" borderId="0" xfId="16" applyAlignment="1">
      <alignment vertical="center"/>
    </xf>
    <xf numFmtId="0" fontId="21" fillId="0" borderId="0" xfId="12" applyFont="1" applyAlignment="1">
      <alignment vertical="center"/>
    </xf>
    <xf numFmtId="0" fontId="21" fillId="0" borderId="0" xfId="12" applyFont="1"/>
    <xf numFmtId="0" fontId="22" fillId="0" borderId="0" xfId="12" applyFont="1"/>
    <xf numFmtId="0" fontId="29" fillId="0" borderId="0" xfId="12" applyFont="1" applyAlignment="1">
      <alignment horizontal="left"/>
    </xf>
    <xf numFmtId="0" fontId="17" fillId="0" borderId="0" xfId="12" applyAlignment="1">
      <alignment horizontal="left"/>
    </xf>
    <xf numFmtId="0" fontId="51" fillId="3" borderId="9" xfId="12" applyFont="1" applyFill="1" applyBorder="1" applyAlignment="1">
      <alignment horizontal="centerContinuous" vertical="center"/>
    </xf>
    <xf numFmtId="0" fontId="51" fillId="3" borderId="38" xfId="12" applyFont="1" applyFill="1" applyBorder="1" applyAlignment="1">
      <alignment horizontal="centerContinuous" vertical="center"/>
    </xf>
    <xf numFmtId="0" fontId="21" fillId="0" borderId="0" xfId="17" applyFont="1"/>
    <xf numFmtId="0" fontId="45" fillId="0" borderId="0" xfId="16" applyFont="1"/>
    <xf numFmtId="167" fontId="21" fillId="0" borderId="0" xfId="16" applyNumberFormat="1" applyFont="1" applyAlignment="1">
      <alignment horizontal="center"/>
    </xf>
    <xf numFmtId="9" fontId="45" fillId="0" borderId="0" xfId="18" applyFont="1"/>
    <xf numFmtId="176" fontId="21" fillId="0" borderId="0" xfId="16" applyNumberFormat="1" applyFont="1" applyAlignment="1">
      <alignment horizontal="center"/>
    </xf>
    <xf numFmtId="165" fontId="21" fillId="0" borderId="0" xfId="12" applyNumberFormat="1" applyFont="1" applyAlignment="1">
      <alignment horizontal="left"/>
    </xf>
    <xf numFmtId="0" fontId="58" fillId="0" borderId="67" xfId="12" applyFont="1" applyBorder="1" applyAlignment="1">
      <alignment horizontal="centerContinuous"/>
    </xf>
    <xf numFmtId="0" fontId="19" fillId="0" borderId="49" xfId="12" applyFont="1" applyBorder="1" applyAlignment="1">
      <alignment horizontal="centerContinuous"/>
    </xf>
    <xf numFmtId="0" fontId="28" fillId="0" borderId="0" xfId="12" applyFont="1" applyAlignment="1">
      <alignment horizontal="centerContinuous" vertical="center"/>
    </xf>
    <xf numFmtId="0" fontId="17" fillId="0" borderId="0" xfId="12" applyAlignment="1">
      <alignment horizontal="centerContinuous" vertical="center"/>
    </xf>
    <xf numFmtId="0" fontId="17" fillId="0" borderId="34" xfId="12" applyBorder="1" applyAlignment="1">
      <alignment horizontal="center" vertical="center"/>
    </xf>
    <xf numFmtId="0" fontId="17" fillId="0" borderId="1" xfId="12" applyBorder="1" applyAlignment="1">
      <alignment horizontal="center" vertical="center"/>
    </xf>
    <xf numFmtId="0" fontId="5" fillId="0" borderId="34" xfId="12" applyFont="1" applyBorder="1" applyAlignment="1">
      <alignment horizontal="centerContinuous" vertical="center"/>
    </xf>
    <xf numFmtId="0" fontId="17" fillId="0" borderId="52" xfId="12" applyBorder="1" applyAlignment="1">
      <alignment horizontal="centerContinuous" vertical="center"/>
    </xf>
    <xf numFmtId="186" fontId="21" fillId="0" borderId="1" xfId="12" applyNumberFormat="1" applyFont="1" applyBorder="1" applyAlignment="1">
      <alignment horizontal="right" vertical="center"/>
    </xf>
    <xf numFmtId="0" fontId="19" fillId="0" borderId="18" xfId="12" applyFont="1" applyBorder="1" applyAlignment="1">
      <alignment horizontal="center"/>
    </xf>
    <xf numFmtId="0" fontId="23" fillId="0" borderId="0" xfId="12" applyFont="1"/>
    <xf numFmtId="177" fontId="21" fillId="2" borderId="0" xfId="12" applyNumberFormat="1" applyFont="1" applyFill="1" applyAlignment="1">
      <alignment horizontal="center"/>
    </xf>
    <xf numFmtId="177" fontId="21" fillId="0" borderId="0" xfId="13" applyNumberFormat="1" applyFont="1" applyAlignment="1">
      <alignment horizontal="center"/>
    </xf>
    <xf numFmtId="174" fontId="21" fillId="2" borderId="0" xfId="12" applyNumberFormat="1" applyFont="1" applyFill="1" applyAlignment="1">
      <alignment horizontal="center"/>
    </xf>
    <xf numFmtId="174" fontId="22" fillId="0" borderId="0" xfId="12" applyNumberFormat="1" applyFont="1" applyAlignment="1">
      <alignment horizontal="center"/>
    </xf>
    <xf numFmtId="2" fontId="21" fillId="0" borderId="0" xfId="12" applyNumberFormat="1" applyFont="1" applyAlignment="1">
      <alignment horizontal="left"/>
    </xf>
    <xf numFmtId="0" fontId="21" fillId="0" borderId="0" xfId="12" applyFont="1" applyAlignment="1">
      <alignment horizontal="center"/>
    </xf>
    <xf numFmtId="185" fontId="21" fillId="0" borderId="21" xfId="12" applyNumberFormat="1" applyFont="1" applyBorder="1" applyAlignment="1">
      <alignment horizontal="right"/>
    </xf>
    <xf numFmtId="185" fontId="21" fillId="0" borderId="0" xfId="12" applyNumberFormat="1" applyFont="1" applyAlignment="1">
      <alignment horizontal="right"/>
    </xf>
    <xf numFmtId="185" fontId="22" fillId="0" borderId="21" xfId="12" applyNumberFormat="1" applyFont="1" applyBorder="1" applyAlignment="1">
      <alignment horizontal="right"/>
    </xf>
    <xf numFmtId="186" fontId="22" fillId="0" borderId="56" xfId="12" applyNumberFormat="1" applyFont="1" applyBorder="1" applyAlignment="1">
      <alignment horizontal="right"/>
    </xf>
    <xf numFmtId="185" fontId="22" fillId="0" borderId="0" xfId="12" applyNumberFormat="1" applyFont="1" applyAlignment="1">
      <alignment horizontal="right"/>
    </xf>
    <xf numFmtId="165" fontId="22" fillId="0" borderId="6" xfId="12" applyNumberFormat="1" applyFont="1" applyBorder="1"/>
    <xf numFmtId="0" fontId="22" fillId="0" borderId="19" xfId="12" applyFont="1" applyBorder="1" applyAlignment="1">
      <alignment horizontal="center"/>
    </xf>
    <xf numFmtId="172" fontId="22" fillId="0" borderId="5" xfId="12" applyNumberFormat="1" applyFont="1" applyBorder="1" applyAlignment="1">
      <alignment horizontal="center"/>
    </xf>
    <xf numFmtId="165" fontId="24" fillId="0" borderId="0" xfId="12" applyNumberFormat="1" applyFont="1"/>
    <xf numFmtId="0" fontId="22" fillId="0" borderId="0" xfId="17" applyFont="1" applyAlignment="1">
      <alignment horizontal="left"/>
    </xf>
    <xf numFmtId="177" fontId="22" fillId="0" borderId="0" xfId="12" applyNumberFormat="1" applyFont="1" applyAlignment="1">
      <alignment horizontal="center"/>
    </xf>
    <xf numFmtId="0" fontId="22" fillId="4" borderId="27" xfId="12" applyFont="1" applyFill="1" applyBorder="1"/>
    <xf numFmtId="0" fontId="22" fillId="4" borderId="28" xfId="12" applyFont="1" applyFill="1" applyBorder="1" applyAlignment="1">
      <alignment horizontal="center"/>
    </xf>
    <xf numFmtId="172" fontId="22" fillId="4" borderId="65" xfId="12" applyNumberFormat="1" applyFont="1" applyFill="1" applyBorder="1" applyAlignment="1">
      <alignment horizontal="center"/>
    </xf>
    <xf numFmtId="0" fontId="22" fillId="0" borderId="6" xfId="12" applyFont="1" applyBorder="1"/>
    <xf numFmtId="0" fontId="22" fillId="4" borderId="30" xfId="12" applyFont="1" applyFill="1" applyBorder="1"/>
    <xf numFmtId="0" fontId="22" fillId="4" borderId="31" xfId="12" applyFont="1" applyFill="1" applyBorder="1" applyAlignment="1">
      <alignment horizontal="center"/>
    </xf>
    <xf numFmtId="172" fontId="22" fillId="4" borderId="66" xfId="12" applyNumberFormat="1" applyFont="1" applyFill="1" applyBorder="1" applyAlignment="1">
      <alignment horizontal="center"/>
    </xf>
    <xf numFmtId="0" fontId="17" fillId="0" borderId="0" xfId="15"/>
    <xf numFmtId="0" fontId="73" fillId="0" borderId="0" xfId="12" applyFont="1" applyAlignment="1">
      <alignment horizontal="center"/>
    </xf>
    <xf numFmtId="0" fontId="27" fillId="0" borderId="0" xfId="12" applyFont="1"/>
    <xf numFmtId="165" fontId="17" fillId="0" borderId="0" xfId="12" applyNumberFormat="1"/>
    <xf numFmtId="165" fontId="17" fillId="0" borderId="0" xfId="12" applyNumberFormat="1" applyAlignment="1">
      <alignment horizontal="center"/>
    </xf>
    <xf numFmtId="0" fontId="40" fillId="0" borderId="0" xfId="12" applyFont="1"/>
    <xf numFmtId="0" fontId="28" fillId="0" borderId="0" xfId="0" applyFont="1" applyAlignment="1">
      <alignment horizontal="right"/>
    </xf>
    <xf numFmtId="2" fontId="21" fillId="0" borderId="0" xfId="0" applyNumberFormat="1" applyFont="1" applyAlignment="1">
      <alignment horizontal="center"/>
    </xf>
    <xf numFmtId="185" fontId="22" fillId="0" borderId="21" xfId="0" applyNumberFormat="1" applyFont="1" applyBorder="1" applyAlignment="1">
      <alignment horizontal="center"/>
    </xf>
    <xf numFmtId="186" fontId="22" fillId="0" borderId="56" xfId="0" applyNumberFormat="1" applyFont="1" applyBorder="1" applyAlignment="1">
      <alignment horizontal="center"/>
    </xf>
    <xf numFmtId="192" fontId="22" fillId="0" borderId="19" xfId="0" applyNumberFormat="1" applyFont="1" applyBorder="1" applyAlignment="1">
      <alignment horizontal="center"/>
    </xf>
    <xf numFmtId="192" fontId="0" fillId="0" borderId="0" xfId="0" applyNumberFormat="1" applyAlignment="1">
      <alignment horizontal="center"/>
    </xf>
    <xf numFmtId="185" fontId="21" fillId="0" borderId="21" xfId="0" applyNumberFormat="1" applyFont="1" applyBorder="1" applyAlignment="1">
      <alignment horizontal="center"/>
    </xf>
    <xf numFmtId="185" fontId="21" fillId="0" borderId="56" xfId="0" applyNumberFormat="1" applyFont="1" applyBorder="1" applyAlignment="1">
      <alignment horizontal="center"/>
    </xf>
    <xf numFmtId="192" fontId="21" fillId="0" borderId="19" xfId="0" applyNumberFormat="1" applyFont="1" applyBorder="1" applyAlignment="1">
      <alignment horizontal="center"/>
    </xf>
    <xf numFmtId="0" fontId="0" fillId="0" borderId="56" xfId="0" applyBorder="1" applyAlignment="1">
      <alignment horizontal="center"/>
    </xf>
    <xf numFmtId="185" fontId="21" fillId="0" borderId="0" xfId="0" applyNumberFormat="1" applyFont="1" applyAlignment="1">
      <alignment horizontal="center" vertical="top"/>
    </xf>
    <xf numFmtId="192" fontId="21" fillId="0" borderId="0" xfId="0" applyNumberFormat="1" applyFont="1" applyAlignment="1">
      <alignment horizontal="center" vertical="top"/>
    </xf>
    <xf numFmtId="192" fontId="0" fillId="0" borderId="0" xfId="0" applyNumberFormat="1" applyAlignment="1">
      <alignment horizontal="center" vertical="top"/>
    </xf>
    <xf numFmtId="186" fontId="21" fillId="6" borderId="12" xfId="0" applyNumberFormat="1" applyFont="1" applyFill="1" applyBorder="1" applyAlignment="1">
      <alignment horizontal="center" vertical="center"/>
    </xf>
    <xf numFmtId="186" fontId="21" fillId="6" borderId="79" xfId="0" applyNumberFormat="1" applyFont="1" applyFill="1" applyBorder="1" applyAlignment="1">
      <alignment horizontal="center" vertical="center"/>
    </xf>
    <xf numFmtId="198" fontId="22" fillId="0" borderId="73" xfId="0" applyNumberFormat="1" applyFont="1" applyBorder="1" applyAlignment="1">
      <alignment vertical="center"/>
    </xf>
    <xf numFmtId="198" fontId="22" fillId="4" borderId="27" xfId="0" applyNumberFormat="1" applyFont="1" applyFill="1" applyBorder="1" applyAlignment="1">
      <alignment vertical="center"/>
    </xf>
    <xf numFmtId="198" fontId="22" fillId="0" borderId="6" xfId="0" applyNumberFormat="1" applyFont="1" applyBorder="1" applyAlignment="1">
      <alignment vertical="center"/>
    </xf>
    <xf numFmtId="198" fontId="22" fillId="4" borderId="30" xfId="0" applyNumberFormat="1" applyFont="1" applyFill="1" applyBorder="1" applyAlignment="1">
      <alignment vertical="center"/>
    </xf>
    <xf numFmtId="198" fontId="22" fillId="0" borderId="9" xfId="0" applyNumberFormat="1" applyFont="1" applyBorder="1" applyAlignment="1">
      <alignment vertical="center"/>
    </xf>
    <xf numFmtId="198" fontId="22" fillId="0" borderId="4" xfId="0" applyNumberFormat="1" applyFont="1" applyBorder="1" applyAlignment="1">
      <alignment vertical="center"/>
    </xf>
    <xf numFmtId="198" fontId="22" fillId="4" borderId="72" xfId="0" applyNumberFormat="1" applyFont="1" applyFill="1" applyBorder="1" applyAlignment="1">
      <alignment vertical="center"/>
    </xf>
    <xf numFmtId="198" fontId="22" fillId="4" borderId="40" xfId="0" applyNumberFormat="1" applyFont="1" applyFill="1" applyBorder="1" applyAlignment="1">
      <alignment vertical="center"/>
    </xf>
    <xf numFmtId="198" fontId="22" fillId="4" borderId="24" xfId="0" applyNumberFormat="1" applyFont="1" applyFill="1" applyBorder="1" applyAlignment="1">
      <alignment vertical="center"/>
    </xf>
    <xf numFmtId="0" fontId="3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1" fillId="0" borderId="0" xfId="0" applyFont="1" applyAlignment="1">
      <alignment horizontal="right" vertical="center" wrapText="1"/>
    </xf>
    <xf numFmtId="186" fontId="21" fillId="0" borderId="0" xfId="0" applyNumberFormat="1" applyFont="1" applyAlignment="1">
      <alignment horizontal="right" vertical="center" wrapText="1"/>
    </xf>
    <xf numFmtId="7" fontId="5" fillId="0" borderId="0" xfId="13" applyNumberFormat="1"/>
    <xf numFmtId="0" fontId="0" fillId="11" borderId="0" xfId="0" applyFill="1" applyAlignment="1">
      <alignment horizontal="left"/>
    </xf>
    <xf numFmtId="196" fontId="0" fillId="11" borderId="0" xfId="0" applyNumberFormat="1" applyFill="1" applyAlignment="1">
      <alignment horizontal="left"/>
    </xf>
    <xf numFmtId="196" fontId="0" fillId="0" borderId="0" xfId="0" applyNumberFormat="1" applyAlignment="1">
      <alignment horizontal="left"/>
    </xf>
    <xf numFmtId="0" fontId="18" fillId="11" borderId="0" xfId="0" applyFont="1" applyFill="1" applyAlignment="1">
      <alignment horizontal="left"/>
    </xf>
    <xf numFmtId="196" fontId="18" fillId="11" borderId="0" xfId="0" applyNumberFormat="1" applyFont="1" applyFill="1" applyAlignment="1">
      <alignment horizontal="left"/>
    </xf>
    <xf numFmtId="0" fontId="5" fillId="0" borderId="0" xfId="0" applyFont="1" applyAlignment="1">
      <alignment horizontal="left"/>
    </xf>
    <xf numFmtId="0" fontId="19" fillId="0" borderId="0" xfId="0" applyFont="1" applyAlignment="1">
      <alignment horizontal="left" indent="1"/>
    </xf>
    <xf numFmtId="0" fontId="79" fillId="0" borderId="0" xfId="0" applyFont="1" applyAlignment="1">
      <alignment horizontal="left" indent="1"/>
    </xf>
    <xf numFmtId="0" fontId="4" fillId="0" borderId="0" xfId="4" applyFont="1"/>
    <xf numFmtId="0" fontId="4" fillId="0" borderId="0" xfId="19"/>
    <xf numFmtId="0" fontId="60" fillId="0" borderId="0" xfId="4" applyFont="1"/>
    <xf numFmtId="0" fontId="89" fillId="0" borderId="0" xfId="4" applyFont="1"/>
    <xf numFmtId="0" fontId="46" fillId="0" borderId="0" xfId="4" applyFont="1"/>
    <xf numFmtId="0" fontId="59" fillId="0" borderId="0" xfId="4" applyFont="1"/>
    <xf numFmtId="192" fontId="4" fillId="0" borderId="0" xfId="4" applyNumberFormat="1" applyFont="1"/>
    <xf numFmtId="0" fontId="4" fillId="0" borderId="0" xfId="4" applyFont="1" applyAlignment="1">
      <alignment horizontal="right"/>
    </xf>
    <xf numFmtId="0" fontId="4" fillId="0" borderId="0" xfId="19" applyAlignment="1">
      <alignment vertical="center"/>
    </xf>
    <xf numFmtId="185" fontId="22" fillId="0" borderId="0" xfId="19" applyNumberFormat="1" applyFont="1" applyAlignment="1">
      <alignment horizontal="right"/>
    </xf>
    <xf numFmtId="185" fontId="21" fillId="0" borderId="0" xfId="19" applyNumberFormat="1" applyFont="1" applyAlignment="1">
      <alignment horizontal="right"/>
    </xf>
    <xf numFmtId="179" fontId="60" fillId="0" borderId="16" xfId="4" applyNumberFormat="1" applyFont="1" applyBorder="1" applyAlignment="1">
      <alignment horizontal="center" vertical="center"/>
    </xf>
    <xf numFmtId="179" fontId="60" fillId="0" borderId="20" xfId="4" applyNumberFormat="1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60" fillId="0" borderId="4" xfId="4" applyFont="1" applyBorder="1" applyAlignment="1">
      <alignment horizontal="center" vertical="center"/>
    </xf>
    <xf numFmtId="0" fontId="4" fillId="0" borderId="0" xfId="4" applyFont="1" applyAlignment="1">
      <alignment vertical="center"/>
    </xf>
    <xf numFmtId="186" fontId="60" fillId="0" borderId="0" xfId="4" applyNumberFormat="1" applyFont="1" applyAlignment="1">
      <alignment horizontal="right" vertical="center"/>
    </xf>
    <xf numFmtId="185" fontId="60" fillId="0" borderId="0" xfId="4" applyNumberFormat="1" applyFont="1" applyAlignment="1">
      <alignment horizontal="right"/>
    </xf>
    <xf numFmtId="0" fontId="60" fillId="0" borderId="0" xfId="4" applyFont="1" applyAlignment="1">
      <alignment vertical="center"/>
    </xf>
    <xf numFmtId="192" fontId="60" fillId="0" borderId="21" xfId="4" applyNumberFormat="1" applyFont="1" applyBorder="1" applyAlignment="1">
      <alignment horizontal="right"/>
    </xf>
    <xf numFmtId="186" fontId="60" fillId="0" borderId="19" xfId="4" applyNumberFormat="1" applyFont="1" applyBorder="1" applyAlignment="1">
      <alignment horizontal="right"/>
    </xf>
    <xf numFmtId="185" fontId="43" fillId="0" borderId="0" xfId="4" applyNumberFormat="1" applyFont="1" applyAlignment="1">
      <alignment horizontal="right"/>
    </xf>
    <xf numFmtId="192" fontId="60" fillId="0" borderId="0" xfId="4" applyNumberFormat="1" applyFont="1" applyAlignment="1">
      <alignment horizontal="right"/>
    </xf>
    <xf numFmtId="0" fontId="60" fillId="0" borderId="0" xfId="4" applyFont="1" applyAlignment="1">
      <alignment horizontal="center" vertical="center"/>
    </xf>
    <xf numFmtId="167" fontId="43" fillId="0" borderId="0" xfId="20" applyNumberFormat="1" applyFont="1" applyAlignment="1">
      <alignment horizontal="center"/>
    </xf>
    <xf numFmtId="0" fontId="90" fillId="0" borderId="0" xfId="4" applyFont="1" applyAlignment="1">
      <alignment vertical="center"/>
    </xf>
    <xf numFmtId="0" fontId="43" fillId="4" borderId="28" xfId="4" applyFont="1" applyFill="1" applyBorder="1" applyAlignment="1">
      <alignment horizontal="center"/>
    </xf>
    <xf numFmtId="179" fontId="60" fillId="4" borderId="29" xfId="19" applyNumberFormat="1" applyFont="1" applyFill="1" applyBorder="1" applyAlignment="1">
      <alignment horizontal="center" vertical="center"/>
    </xf>
    <xf numFmtId="179" fontId="60" fillId="4" borderId="46" xfId="19" applyNumberFormat="1" applyFont="1" applyFill="1" applyBorder="1" applyAlignment="1">
      <alignment horizontal="center" vertical="center"/>
    </xf>
    <xf numFmtId="0" fontId="4" fillId="4" borderId="28" xfId="4" applyFont="1" applyFill="1" applyBorder="1" applyAlignment="1">
      <alignment horizontal="center" vertical="center"/>
    </xf>
    <xf numFmtId="0" fontId="60" fillId="4" borderId="27" xfId="4" applyFont="1" applyFill="1" applyBorder="1" applyAlignment="1">
      <alignment horizontal="center" vertical="center"/>
    </xf>
    <xf numFmtId="0" fontId="43" fillId="0" borderId="19" xfId="4" applyFont="1" applyBorder="1" applyAlignment="1">
      <alignment horizontal="center"/>
    </xf>
    <xf numFmtId="179" fontId="60" fillId="0" borderId="14" xfId="4" applyNumberFormat="1" applyFont="1" applyBorder="1" applyAlignment="1">
      <alignment horizontal="center" vertical="center"/>
    </xf>
    <xf numFmtId="179" fontId="60" fillId="0" borderId="21" xfId="4" applyNumberFormat="1" applyFont="1" applyBorder="1" applyAlignment="1">
      <alignment horizontal="center" vertical="center"/>
    </xf>
    <xf numFmtId="0" fontId="4" fillId="0" borderId="19" xfId="4" applyFont="1" applyBorder="1" applyAlignment="1">
      <alignment horizontal="center" vertical="center"/>
    </xf>
    <xf numFmtId="0" fontId="60" fillId="0" borderId="6" xfId="4" applyFont="1" applyBorder="1" applyAlignment="1">
      <alignment horizontal="center" vertical="center"/>
    </xf>
    <xf numFmtId="179" fontId="60" fillId="4" borderId="28" xfId="19" applyNumberFormat="1" applyFont="1" applyFill="1" applyBorder="1" applyAlignment="1">
      <alignment horizontal="center" vertical="center"/>
    </xf>
    <xf numFmtId="0" fontId="43" fillId="0" borderId="53" xfId="4" applyFont="1" applyBorder="1" applyAlignment="1">
      <alignment horizontal="center"/>
    </xf>
    <xf numFmtId="0" fontId="43" fillId="0" borderId="0" xfId="4" applyFont="1" applyAlignment="1">
      <alignment vertical="center"/>
    </xf>
    <xf numFmtId="186" fontId="60" fillId="0" borderId="53" xfId="4" applyNumberFormat="1" applyFont="1" applyBorder="1" applyAlignment="1">
      <alignment horizontal="right"/>
    </xf>
    <xf numFmtId="0" fontId="43" fillId="0" borderId="0" xfId="4" applyFont="1" applyAlignment="1">
      <alignment horizontal="center" vertical="center"/>
    </xf>
    <xf numFmtId="0" fontId="46" fillId="0" borderId="6" xfId="4" applyFont="1" applyBorder="1"/>
    <xf numFmtId="0" fontId="77" fillId="0" borderId="15" xfId="4" applyFont="1" applyBorder="1" applyAlignment="1">
      <alignment horizontal="center" vertical="center"/>
    </xf>
    <xf numFmtId="0" fontId="77" fillId="0" borderId="34" xfId="4" applyFont="1" applyBorder="1" applyAlignment="1">
      <alignment horizontal="center" vertical="center"/>
    </xf>
    <xf numFmtId="0" fontId="4" fillId="0" borderId="1" xfId="4" applyFont="1" applyBorder="1" applyAlignment="1">
      <alignment horizontal="center"/>
    </xf>
    <xf numFmtId="186" fontId="43" fillId="0" borderId="1" xfId="4" applyNumberFormat="1" applyFont="1" applyBorder="1" applyAlignment="1">
      <alignment horizontal="right" vertical="center"/>
    </xf>
    <xf numFmtId="0" fontId="77" fillId="0" borderId="0" xfId="4" applyFont="1" applyAlignment="1">
      <alignment vertical="center"/>
    </xf>
    <xf numFmtId="0" fontId="4" fillId="0" borderId="1" xfId="4" applyFont="1" applyBorder="1" applyAlignment="1">
      <alignment horizontal="center" vertical="center"/>
    </xf>
    <xf numFmtId="0" fontId="4" fillId="0" borderId="0" xfId="4" applyFont="1" applyAlignment="1">
      <alignment horizontal="center"/>
    </xf>
    <xf numFmtId="0" fontId="77" fillId="0" borderId="0" xfId="4" applyFont="1" applyAlignment="1">
      <alignment horizontal="center" vertical="center"/>
    </xf>
    <xf numFmtId="0" fontId="91" fillId="0" borderId="0" xfId="4" applyFont="1" applyAlignment="1">
      <alignment horizontal="center" vertical="center"/>
    </xf>
    <xf numFmtId="0" fontId="59" fillId="0" borderId="0" xfId="4" applyFont="1" applyAlignment="1">
      <alignment vertical="center"/>
    </xf>
    <xf numFmtId="186" fontId="43" fillId="0" borderId="0" xfId="19" applyNumberFormat="1" applyFont="1" applyAlignment="1">
      <alignment horizontal="right" vertical="center"/>
    </xf>
    <xf numFmtId="0" fontId="59" fillId="0" borderId="62" xfId="19" applyFont="1" applyBorder="1" applyAlignment="1">
      <alignment horizontal="centerContinuous" vertical="center"/>
    </xf>
    <xf numFmtId="0" fontId="92" fillId="0" borderId="5" xfId="5" applyFont="1" applyBorder="1" applyAlignment="1">
      <alignment horizontal="centerContinuous" vertical="center"/>
    </xf>
    <xf numFmtId="0" fontId="92" fillId="0" borderId="21" xfId="5" applyFont="1" applyBorder="1" applyAlignment="1">
      <alignment horizontal="centerContinuous"/>
    </xf>
    <xf numFmtId="0" fontId="77" fillId="0" borderId="0" xfId="4" applyFont="1" applyAlignment="1">
      <alignment horizontal="centerContinuous" vertical="center"/>
    </xf>
    <xf numFmtId="0" fontId="4" fillId="0" borderId="0" xfId="19" applyAlignment="1">
      <alignment horizontal="centerContinuous" vertical="center"/>
    </xf>
    <xf numFmtId="0" fontId="59" fillId="0" borderId="0" xfId="4" applyFont="1" applyAlignment="1">
      <alignment horizontal="centerContinuous"/>
    </xf>
    <xf numFmtId="186" fontId="43" fillId="0" borderId="0" xfId="4" applyNumberFormat="1" applyFont="1" applyAlignment="1">
      <alignment horizontal="centerContinuous" vertical="center"/>
    </xf>
    <xf numFmtId="167" fontId="43" fillId="0" borderId="0" xfId="19" applyNumberFormat="1" applyFont="1" applyAlignment="1">
      <alignment horizontal="center"/>
    </xf>
    <xf numFmtId="0" fontId="45" fillId="0" borderId="0" xfId="19" applyFont="1"/>
    <xf numFmtId="0" fontId="45" fillId="0" borderId="0" xfId="4" applyFont="1"/>
    <xf numFmtId="0" fontId="4" fillId="0" borderId="0" xfId="4" applyFont="1" applyAlignment="1">
      <alignment horizontal="centerContinuous" vertical="center"/>
    </xf>
    <xf numFmtId="0" fontId="59" fillId="0" borderId="0" xfId="19" applyFont="1" applyAlignment="1">
      <alignment horizontal="centerContinuous" vertical="center"/>
    </xf>
    <xf numFmtId="0" fontId="88" fillId="12" borderId="8" xfId="4" applyFont="1" applyFill="1" applyBorder="1" applyAlignment="1">
      <alignment horizontal="centerContinuous" vertical="center"/>
    </xf>
    <xf numFmtId="0" fontId="88" fillId="12" borderId="9" xfId="4" applyFont="1" applyFill="1" applyBorder="1" applyAlignment="1">
      <alignment horizontal="centerContinuous" vertical="center"/>
    </xf>
    <xf numFmtId="0" fontId="88" fillId="12" borderId="7" xfId="4" applyFont="1" applyFill="1" applyBorder="1" applyAlignment="1">
      <alignment horizontal="centerContinuous" vertical="center"/>
    </xf>
    <xf numFmtId="188" fontId="43" fillId="0" borderId="0" xfId="19" applyNumberFormat="1" applyFont="1" applyAlignment="1">
      <alignment horizontal="center"/>
    </xf>
    <xf numFmtId="0" fontId="93" fillId="0" borderId="0" xfId="4" applyFont="1"/>
    <xf numFmtId="166" fontId="77" fillId="0" borderId="0" xfId="4" applyNumberFormat="1" applyFont="1" applyAlignment="1">
      <alignment horizontal="left"/>
    </xf>
    <xf numFmtId="0" fontId="94" fillId="0" borderId="0" xfId="4" applyFont="1"/>
    <xf numFmtId="186" fontId="43" fillId="0" borderId="0" xfId="19" applyNumberFormat="1" applyFont="1" applyAlignment="1">
      <alignment horizontal="center" vertical="center"/>
    </xf>
    <xf numFmtId="0" fontId="43" fillId="0" borderId="0" xfId="4" applyFont="1"/>
    <xf numFmtId="9" fontId="4" fillId="0" borderId="0" xfId="21" applyFont="1" applyAlignment="1">
      <alignment vertical="center"/>
    </xf>
    <xf numFmtId="0" fontId="45" fillId="0" borderId="0" xfId="19" applyFont="1" applyAlignment="1">
      <alignment vertical="center"/>
    </xf>
    <xf numFmtId="0" fontId="43" fillId="0" borderId="0" xfId="4" applyFont="1" applyAlignment="1">
      <alignment horizontal="left"/>
    </xf>
    <xf numFmtId="0" fontId="75" fillId="0" borderId="0" xfId="19" applyFont="1"/>
    <xf numFmtId="166" fontId="95" fillId="0" borderId="0" xfId="4" applyNumberFormat="1" applyFont="1" applyAlignment="1">
      <alignment horizontal="left"/>
    </xf>
    <xf numFmtId="0" fontId="96" fillId="0" borderId="0" xfId="4" applyFont="1"/>
    <xf numFmtId="0" fontId="21" fillId="7" borderId="0" xfId="12" applyFont="1" applyFill="1" applyAlignment="1">
      <alignment horizontal="center"/>
    </xf>
    <xf numFmtId="185" fontId="43" fillId="16" borderId="0" xfId="4" applyNumberFormat="1" applyFont="1" applyFill="1" applyAlignment="1">
      <alignment horizontal="right"/>
    </xf>
    <xf numFmtId="185" fontId="18" fillId="0" borderId="0" xfId="19" applyNumberFormat="1" applyFont="1" applyAlignment="1">
      <alignment horizontal="right"/>
    </xf>
    <xf numFmtId="165" fontId="21" fillId="0" borderId="0" xfId="0" applyNumberFormat="1" applyFont="1" applyAlignment="1">
      <alignment horizontal="centerContinuous"/>
    </xf>
    <xf numFmtId="0" fontId="97" fillId="14" borderId="84" xfId="0" applyFont="1" applyFill="1" applyBorder="1" applyAlignment="1">
      <alignment horizontal="center" vertical="center"/>
    </xf>
    <xf numFmtId="0" fontId="97" fillId="14" borderId="85" xfId="0" applyFont="1" applyFill="1" applyBorder="1" applyAlignment="1">
      <alignment horizontal="center" vertical="center"/>
    </xf>
    <xf numFmtId="0" fontId="97" fillId="14" borderId="86" xfId="0" applyFont="1" applyFill="1" applyBorder="1" applyAlignment="1">
      <alignment horizontal="center" vertical="center"/>
    </xf>
    <xf numFmtId="0" fontId="88" fillId="12" borderId="9" xfId="4" applyFont="1" applyFill="1" applyBorder="1" applyAlignment="1">
      <alignment horizontal="centerContinuous"/>
    </xf>
    <xf numFmtId="0" fontId="98" fillId="0" borderId="0" xfId="0" applyFont="1" applyAlignment="1">
      <alignment horizontal="left"/>
    </xf>
    <xf numFmtId="0" fontId="3" fillId="0" borderId="0" xfId="22"/>
    <xf numFmtId="0" fontId="55" fillId="0" borderId="6" xfId="0" applyFont="1" applyBorder="1" applyAlignment="1">
      <alignment horizontal="center" vertical="center"/>
    </xf>
    <xf numFmtId="172" fontId="22" fillId="0" borderId="6" xfId="0" applyNumberFormat="1" applyFont="1" applyBorder="1" applyAlignment="1">
      <alignment horizontal="center"/>
    </xf>
    <xf numFmtId="185" fontId="22" fillId="0" borderId="0" xfId="0" applyNumberFormat="1" applyFont="1" applyAlignment="1">
      <alignment horizontal="center"/>
    </xf>
    <xf numFmtId="0" fontId="3" fillId="13" borderId="57" xfId="23" applyFill="1" applyBorder="1" applyAlignment="1">
      <alignment horizontal="left"/>
    </xf>
    <xf numFmtId="0" fontId="28" fillId="0" borderId="0" xfId="0" applyFont="1" applyAlignment="1">
      <alignment horizontal="left"/>
    </xf>
    <xf numFmtId="199" fontId="43" fillId="0" borderId="14" xfId="22" applyNumberFormat="1" applyFont="1" applyBorder="1" applyAlignment="1">
      <alignment vertical="center"/>
    </xf>
    <xf numFmtId="0" fontId="51" fillId="17" borderId="9" xfId="22" applyFont="1" applyFill="1" applyBorder="1" applyAlignment="1">
      <alignment vertical="center"/>
    </xf>
    <xf numFmtId="0" fontId="88" fillId="17" borderId="8" xfId="22" applyFont="1" applyFill="1" applyBorder="1" applyAlignment="1">
      <alignment vertical="center"/>
    </xf>
    <xf numFmtId="0" fontId="51" fillId="17" borderId="8" xfId="22" applyFont="1" applyFill="1" applyBorder="1" applyAlignment="1">
      <alignment vertical="center"/>
    </xf>
    <xf numFmtId="0" fontId="51" fillId="17" borderId="7" xfId="22" applyFont="1" applyFill="1" applyBorder="1" applyAlignment="1">
      <alignment horizontal="center" vertical="center"/>
    </xf>
    <xf numFmtId="0" fontId="3" fillId="0" borderId="0" xfId="22" applyAlignment="1">
      <alignment vertical="center"/>
    </xf>
    <xf numFmtId="0" fontId="100" fillId="0" borderId="19" xfId="22" applyFont="1" applyBorder="1" applyAlignment="1">
      <alignment vertical="center"/>
    </xf>
    <xf numFmtId="0" fontId="3" fillId="0" borderId="0" xfId="0" applyFont="1"/>
    <xf numFmtId="0" fontId="102" fillId="0" borderId="0" xfId="22" applyFont="1"/>
    <xf numFmtId="0" fontId="103" fillId="0" borderId="0" xfId="22" applyFont="1"/>
    <xf numFmtId="0" fontId="3" fillId="0" borderId="6" xfId="22" applyBorder="1" applyAlignment="1">
      <alignment vertical="center"/>
    </xf>
    <xf numFmtId="0" fontId="3" fillId="0" borderId="21" xfId="22" applyBorder="1" applyAlignment="1">
      <alignment vertical="center"/>
    </xf>
    <xf numFmtId="0" fontId="3" fillId="0" borderId="109" xfId="22" applyBorder="1"/>
    <xf numFmtId="0" fontId="3" fillId="0" borderId="36" xfId="22" applyBorder="1"/>
    <xf numFmtId="0" fontId="3" fillId="0" borderId="3" xfId="22" applyBorder="1"/>
    <xf numFmtId="0" fontId="3" fillId="0" borderId="17" xfId="22" applyBorder="1"/>
    <xf numFmtId="0" fontId="3" fillId="0" borderId="2" xfId="22" applyBorder="1"/>
    <xf numFmtId="0" fontId="0" fillId="0" borderId="5" xfId="0" applyBorder="1"/>
    <xf numFmtId="0" fontId="0" fillId="0" borderId="69" xfId="0" applyBorder="1"/>
    <xf numFmtId="0" fontId="0" fillId="0" borderId="80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left"/>
    </xf>
    <xf numFmtId="0" fontId="22" fillId="0" borderId="5" xfId="0" applyFont="1" applyBorder="1"/>
    <xf numFmtId="0" fontId="3" fillId="4" borderId="101" xfId="22" applyFill="1" applyBorder="1" applyAlignment="1">
      <alignment vertical="center"/>
    </xf>
    <xf numFmtId="0" fontId="100" fillId="4" borderId="96" xfId="22" applyFont="1" applyFill="1" applyBorder="1" applyAlignment="1">
      <alignment vertical="center"/>
    </xf>
    <xf numFmtId="0" fontId="3" fillId="4" borderId="102" xfId="22" applyFill="1" applyBorder="1" applyAlignment="1">
      <alignment vertical="center"/>
    </xf>
    <xf numFmtId="0" fontId="3" fillId="4" borderId="103" xfId="22" applyFill="1" applyBorder="1" applyAlignment="1">
      <alignment vertical="center"/>
    </xf>
    <xf numFmtId="199" fontId="43" fillId="4" borderId="104" xfId="22" applyNumberFormat="1" applyFont="1" applyFill="1" applyBorder="1" applyAlignment="1">
      <alignment vertical="center"/>
    </xf>
    <xf numFmtId="0" fontId="3" fillId="4" borderId="0" xfId="22" applyFill="1" applyAlignment="1">
      <alignment vertical="center"/>
    </xf>
    <xf numFmtId="0" fontId="3" fillId="4" borderId="97" xfId="22" applyFill="1" applyBorder="1" applyAlignment="1">
      <alignment vertical="center"/>
    </xf>
    <xf numFmtId="0" fontId="100" fillId="4" borderId="95" xfId="22" applyFont="1" applyFill="1" applyBorder="1" applyAlignment="1">
      <alignment vertical="center"/>
    </xf>
    <xf numFmtId="0" fontId="3" fillId="4" borderId="98" xfId="22" applyFill="1" applyBorder="1" applyAlignment="1">
      <alignment vertical="center"/>
    </xf>
    <xf numFmtId="0" fontId="3" fillId="4" borderId="99" xfId="22" applyFill="1" applyBorder="1" applyAlignment="1">
      <alignment vertical="center"/>
    </xf>
    <xf numFmtId="199" fontId="43" fillId="4" borderId="100" xfId="22" applyNumberFormat="1" applyFont="1" applyFill="1" applyBorder="1" applyAlignment="1">
      <alignment vertical="center"/>
    </xf>
    <xf numFmtId="0" fontId="3" fillId="4" borderId="6" xfId="22" applyFill="1" applyBorder="1" applyAlignment="1">
      <alignment vertical="center"/>
    </xf>
    <xf numFmtId="0" fontId="100" fillId="4" borderId="19" xfId="22" applyFont="1" applyFill="1" applyBorder="1" applyAlignment="1">
      <alignment vertical="center"/>
    </xf>
    <xf numFmtId="0" fontId="3" fillId="4" borderId="21" xfId="22" applyFill="1" applyBorder="1" applyAlignment="1">
      <alignment vertical="center"/>
    </xf>
    <xf numFmtId="199" fontId="43" fillId="4" borderId="14" xfId="22" applyNumberFormat="1" applyFont="1" applyFill="1" applyBorder="1" applyAlignment="1">
      <alignment vertical="center"/>
    </xf>
    <xf numFmtId="0" fontId="3" fillId="4" borderId="105" xfId="22" applyFill="1" applyBorder="1" applyAlignment="1">
      <alignment vertical="center"/>
    </xf>
    <xf numFmtId="0" fontId="100" fillId="4" borderId="106" xfId="22" applyFont="1" applyFill="1" applyBorder="1" applyAlignment="1">
      <alignment vertical="center"/>
    </xf>
    <xf numFmtId="0" fontId="3" fillId="4" borderId="94" xfId="22" applyFill="1" applyBorder="1" applyAlignment="1">
      <alignment vertical="center"/>
    </xf>
    <xf numFmtId="0" fontId="3" fillId="4" borderId="107" xfId="22" applyFill="1" applyBorder="1" applyAlignment="1">
      <alignment vertical="center"/>
    </xf>
    <xf numFmtId="199" fontId="43" fillId="4" borderId="108" xfId="22" applyNumberFormat="1" applyFont="1" applyFill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2" fillId="0" borderId="0" xfId="22" applyFont="1"/>
    <xf numFmtId="0" fontId="43" fillId="0" borderId="0" xfId="0" applyFont="1" applyAlignment="1">
      <alignment horizontal="left" vertical="center"/>
    </xf>
    <xf numFmtId="0" fontId="2" fillId="13" borderId="57" xfId="23" applyFont="1" applyFill="1" applyBorder="1" applyAlignment="1">
      <alignment horizontal="left" vertical="center"/>
    </xf>
    <xf numFmtId="185" fontId="22" fillId="0" borderId="0" xfId="0" applyNumberFormat="1" applyFont="1" applyAlignment="1">
      <alignment horizontal="center" vertical="center"/>
    </xf>
    <xf numFmtId="185" fontId="21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18" xfId="0" applyFont="1" applyBorder="1" applyAlignment="1">
      <alignment horizontal="center" vertical="center"/>
    </xf>
    <xf numFmtId="0" fontId="55" fillId="0" borderId="0" xfId="0" applyFont="1" applyAlignment="1">
      <alignment horizontal="center"/>
    </xf>
    <xf numFmtId="0" fontId="77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7" fillId="0" borderId="11" xfId="0" applyFont="1" applyBorder="1" applyAlignment="1">
      <alignment horizontal="left" vertical="center"/>
    </xf>
    <xf numFmtId="0" fontId="77" fillId="0" borderId="18" xfId="0" applyFont="1" applyBorder="1" applyAlignment="1">
      <alignment horizontal="centerContinuous" vertical="center"/>
    </xf>
    <xf numFmtId="0" fontId="77" fillId="0" borderId="10" xfId="0" applyFont="1" applyBorder="1" applyAlignment="1">
      <alignment horizontal="centerContinuous" vertical="center"/>
    </xf>
    <xf numFmtId="185" fontId="43" fillId="0" borderId="0" xfId="9" applyNumberFormat="1" applyFont="1" applyAlignment="1">
      <alignment horizontal="right" wrapText="1"/>
    </xf>
    <xf numFmtId="0" fontId="77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77" fillId="0" borderId="18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77" fillId="0" borderId="18" xfId="0" applyFont="1" applyBorder="1" applyAlignment="1">
      <alignment horizontal="center" vertical="center"/>
    </xf>
    <xf numFmtId="0" fontId="77" fillId="0" borderId="10" xfId="0" applyFont="1" applyBorder="1" applyAlignment="1">
      <alignment horizontal="center" vertical="center"/>
    </xf>
    <xf numFmtId="0" fontId="43" fillId="0" borderId="0" xfId="0" applyFont="1" applyAlignment="1">
      <alignment horizontal="center" wrapText="1"/>
    </xf>
    <xf numFmtId="0" fontId="21" fillId="0" borderId="0" xfId="0" quotePrefix="1" applyFont="1" applyAlignment="1">
      <alignment horizontal="center"/>
    </xf>
    <xf numFmtId="0" fontId="8" fillId="0" borderId="0" xfId="0" applyFont="1" applyAlignment="1">
      <alignment horizontal="center" wrapText="1"/>
    </xf>
    <xf numFmtId="0" fontId="77" fillId="0" borderId="110" xfId="0" applyFont="1" applyBorder="1" applyAlignment="1">
      <alignment horizontal="centerContinuous" vertical="center"/>
    </xf>
    <xf numFmtId="0" fontId="77" fillId="0" borderId="59" xfId="0" applyFont="1" applyBorder="1" applyAlignment="1">
      <alignment horizontal="centerContinuous" vertical="center"/>
    </xf>
    <xf numFmtId="0" fontId="77" fillId="0" borderId="110" xfId="0" applyFont="1" applyBorder="1" applyAlignment="1">
      <alignment horizontal="center" vertical="center"/>
    </xf>
    <xf numFmtId="0" fontId="77" fillId="0" borderId="71" xfId="0" applyFont="1" applyBorder="1" applyAlignment="1">
      <alignment horizontal="center" vertical="center"/>
    </xf>
    <xf numFmtId="0" fontId="59" fillId="0" borderId="80" xfId="19" applyFont="1" applyBorder="1" applyAlignment="1">
      <alignment horizontal="centerContinuous" vertical="center"/>
    </xf>
    <xf numFmtId="0" fontId="43" fillId="0" borderId="22" xfId="4" applyFont="1" applyBorder="1" applyAlignment="1">
      <alignment horizontal="center"/>
    </xf>
    <xf numFmtId="0" fontId="43" fillId="4" borderId="29" xfId="4" applyFont="1" applyFill="1" applyBorder="1" applyAlignment="1">
      <alignment horizontal="center"/>
    </xf>
    <xf numFmtId="0" fontId="43" fillId="0" borderId="14" xfId="4" applyFont="1" applyBorder="1" applyAlignment="1">
      <alignment horizontal="center"/>
    </xf>
    <xf numFmtId="0" fontId="43" fillId="0" borderId="31" xfId="4" applyFont="1" applyBorder="1" applyAlignment="1">
      <alignment horizontal="center"/>
    </xf>
    <xf numFmtId="0" fontId="43" fillId="0" borderId="32" xfId="4" applyFont="1" applyBorder="1" applyAlignment="1">
      <alignment horizontal="center"/>
    </xf>
    <xf numFmtId="0" fontId="59" fillId="0" borderId="18" xfId="19" applyFont="1" applyBorder="1" applyAlignment="1">
      <alignment horizontal="center" vertical="center"/>
    </xf>
    <xf numFmtId="0" fontId="59" fillId="0" borderId="10" xfId="19" applyFont="1" applyBorder="1" applyAlignment="1">
      <alignment horizontal="center" vertical="center"/>
    </xf>
    <xf numFmtId="0" fontId="92" fillId="0" borderId="69" xfId="4" applyFont="1" applyBorder="1" applyAlignment="1">
      <alignment horizontal="centerContinuous"/>
    </xf>
    <xf numFmtId="0" fontId="59" fillId="0" borderId="11" xfId="4" applyFont="1" applyBorder="1" applyAlignment="1">
      <alignment horizontal="center" vertical="center"/>
    </xf>
    <xf numFmtId="0" fontId="43" fillId="0" borderId="48" xfId="4" applyFont="1" applyBorder="1" applyAlignment="1">
      <alignment horizontal="center"/>
    </xf>
    <xf numFmtId="0" fontId="43" fillId="4" borderId="90" xfId="4" applyFont="1" applyFill="1" applyBorder="1" applyAlignment="1">
      <alignment horizontal="center"/>
    </xf>
    <xf numFmtId="0" fontId="43" fillId="0" borderId="54" xfId="4" applyFont="1" applyBorder="1" applyAlignment="1">
      <alignment horizontal="center"/>
    </xf>
    <xf numFmtId="0" fontId="43" fillId="0" borderId="111" xfId="4" applyFont="1" applyBorder="1" applyAlignment="1">
      <alignment horizontal="center"/>
    </xf>
    <xf numFmtId="179" fontId="0" fillId="0" borderId="5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9" fontId="0" fillId="0" borderId="5" xfId="0" applyNumberFormat="1" applyBorder="1" applyAlignment="1">
      <alignment horizontal="center"/>
    </xf>
    <xf numFmtId="179" fontId="0" fillId="4" borderId="65" xfId="0" applyNumberFormat="1" applyFill="1" applyBorder="1" applyAlignment="1">
      <alignment horizontal="center"/>
    </xf>
    <xf numFmtId="179" fontId="0" fillId="4" borderId="66" xfId="0" applyNumberForma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9" fillId="0" borderId="13" xfId="2" applyFont="1" applyBorder="1" applyAlignment="1">
      <alignment horizontal="center" vertical="center"/>
    </xf>
    <xf numFmtId="0" fontId="59" fillId="0" borderId="15" xfId="2" applyFont="1" applyBorder="1" applyAlignment="1">
      <alignment horizontal="center" vertical="center"/>
    </xf>
    <xf numFmtId="0" fontId="17" fillId="0" borderId="0" xfId="12" applyAlignment="1">
      <alignment horizontal="left" vertical="top" wrapText="1"/>
    </xf>
    <xf numFmtId="0" fontId="31" fillId="0" borderId="68" xfId="12" applyFont="1" applyBorder="1" applyAlignment="1">
      <alignment horizontal="left"/>
    </xf>
    <xf numFmtId="0" fontId="31" fillId="0" borderId="55" xfId="12" applyFont="1" applyBorder="1" applyAlignment="1">
      <alignment horizontal="left"/>
    </xf>
    <xf numFmtId="0" fontId="19" fillId="0" borderId="13" xfId="12" applyFont="1" applyBorder="1" applyAlignment="1">
      <alignment horizontal="center"/>
    </xf>
    <xf numFmtId="0" fontId="19" fillId="0" borderId="15" xfId="12" applyFont="1" applyBorder="1" applyAlignment="1">
      <alignment horizontal="center"/>
    </xf>
    <xf numFmtId="0" fontId="19" fillId="0" borderId="21" xfId="5" applyFont="1" applyBorder="1" applyAlignment="1">
      <alignment horizontal="center" vertical="center"/>
    </xf>
    <xf numFmtId="0" fontId="19" fillId="0" borderId="34" xfId="5" applyFont="1" applyBorder="1" applyAlignment="1">
      <alignment horizontal="center" vertical="center"/>
    </xf>
    <xf numFmtId="170" fontId="22" fillId="4" borderId="19" xfId="0" applyNumberFormat="1" applyFont="1" applyFill="1" applyBorder="1" applyAlignment="1">
      <alignment horizontal="center" vertical="center"/>
    </xf>
    <xf numFmtId="170" fontId="22" fillId="0" borderId="19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1" fontId="22" fillId="4" borderId="64" xfId="0" applyNumberFormat="1" applyFont="1" applyFill="1" applyBorder="1" applyAlignment="1">
      <alignment horizontal="center" vertical="center" wrapText="1"/>
    </xf>
    <xf numFmtId="1" fontId="22" fillId="4" borderId="21" xfId="0" applyNumberFormat="1" applyFont="1" applyFill="1" applyBorder="1" applyAlignment="1">
      <alignment horizontal="center" vertical="center" wrapText="1"/>
    </xf>
    <xf numFmtId="1" fontId="22" fillId="4" borderId="34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9" fillId="0" borderId="53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14" fontId="22" fillId="0" borderId="19" xfId="4" quotePrefix="1" applyNumberFormat="1" applyFont="1" applyBorder="1" applyAlignment="1">
      <alignment horizontal="center" vertical="center"/>
    </xf>
    <xf numFmtId="14" fontId="22" fillId="4" borderId="53" xfId="4" quotePrefix="1" applyNumberFormat="1" applyFont="1" applyFill="1" applyBorder="1" applyAlignment="1">
      <alignment horizontal="center" vertical="center"/>
    </xf>
    <xf numFmtId="14" fontId="22" fillId="4" borderId="19" xfId="4" quotePrefix="1" applyNumberFormat="1" applyFont="1" applyFill="1" applyBorder="1" applyAlignment="1">
      <alignment horizontal="center" vertical="center"/>
    </xf>
    <xf numFmtId="14" fontId="22" fillId="4" borderId="18" xfId="4" quotePrefix="1" applyNumberFormat="1" applyFont="1" applyFill="1" applyBorder="1" applyAlignment="1">
      <alignment horizontal="center" vertical="center"/>
    </xf>
    <xf numFmtId="0" fontId="21" fillId="0" borderId="19" xfId="4" applyFont="1" applyBorder="1" applyAlignment="1">
      <alignment horizontal="center" vertical="center"/>
    </xf>
    <xf numFmtId="0" fontId="21" fillId="4" borderId="53" xfId="4" applyFont="1" applyFill="1" applyBorder="1" applyAlignment="1">
      <alignment horizontal="center" vertical="center"/>
    </xf>
    <xf numFmtId="0" fontId="21" fillId="4" borderId="19" xfId="4" applyFont="1" applyFill="1" applyBorder="1" applyAlignment="1">
      <alignment horizontal="center" vertical="center"/>
    </xf>
    <xf numFmtId="0" fontId="21" fillId="4" borderId="18" xfId="4" applyFont="1" applyFill="1" applyBorder="1" applyAlignment="1">
      <alignment horizontal="center" vertical="center"/>
    </xf>
    <xf numFmtId="0" fontId="21" fillId="0" borderId="17" xfId="4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198" fontId="31" fillId="0" borderId="6" xfId="0" applyNumberFormat="1" applyFont="1" applyBorder="1" applyAlignment="1">
      <alignment horizontal="left" vertical="center"/>
    </xf>
    <xf numFmtId="198" fontId="31" fillId="0" borderId="11" xfId="0" applyNumberFormat="1" applyFont="1" applyBorder="1" applyAlignment="1">
      <alignment horizontal="left" vertical="center"/>
    </xf>
    <xf numFmtId="0" fontId="31" fillId="0" borderId="21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59" fillId="0" borderId="54" xfId="5" applyFont="1" applyBorder="1" applyAlignment="1">
      <alignment horizontal="center" vertical="center" wrapText="1"/>
    </xf>
    <xf numFmtId="0" fontId="59" fillId="0" borderId="55" xfId="5" applyFont="1" applyBorder="1" applyAlignment="1">
      <alignment horizontal="center" vertical="center" wrapText="1"/>
    </xf>
    <xf numFmtId="0" fontId="59" fillId="0" borderId="21" xfId="5" applyFont="1" applyBorder="1" applyAlignment="1">
      <alignment horizontal="center" vertical="center" wrapText="1"/>
    </xf>
    <xf numFmtId="0" fontId="59" fillId="0" borderId="34" xfId="5" applyFont="1" applyBorder="1" applyAlignment="1">
      <alignment horizontal="center" vertical="center" wrapText="1"/>
    </xf>
    <xf numFmtId="195" fontId="18" fillId="0" borderId="0" xfId="0" applyNumberFormat="1" applyFont="1" applyAlignment="1">
      <alignment horizontal="right" vertical="center"/>
    </xf>
    <xf numFmtId="196" fontId="22" fillId="0" borderId="0" xfId="0" applyNumberFormat="1" applyFont="1" applyAlignment="1">
      <alignment horizontal="left"/>
    </xf>
    <xf numFmtId="0" fontId="62" fillId="11" borderId="0" xfId="0" applyFont="1" applyFill="1" applyAlignment="1">
      <alignment horizontal="left"/>
    </xf>
    <xf numFmtId="196" fontId="62" fillId="11" borderId="0" xfId="0" applyNumberFormat="1" applyFont="1" applyFill="1" applyAlignment="1">
      <alignment horizontal="left"/>
    </xf>
    <xf numFmtId="0" fontId="44" fillId="0" borderId="0" xfId="0" applyFont="1" applyAlignment="1">
      <alignment vertical="center"/>
    </xf>
    <xf numFmtId="0" fontId="0" fillId="0" borderId="0" xfId="0" applyFont="1" applyAlignment="1">
      <alignment horizontal="left" vertical="center" readingOrder="1"/>
    </xf>
    <xf numFmtId="0" fontId="64" fillId="0" borderId="0" xfId="0" applyFont="1" applyAlignment="1"/>
    <xf numFmtId="0" fontId="0" fillId="0" borderId="0" xfId="0" applyAlignment="1"/>
    <xf numFmtId="0" fontId="20" fillId="0" borderId="0" xfId="0" applyFont="1" applyAlignment="1"/>
    <xf numFmtId="197" fontId="22" fillId="0" borderId="14" xfId="0" applyNumberFormat="1" applyFont="1" applyBorder="1" applyAlignment="1">
      <alignment horizontal="center" vertical="center"/>
    </xf>
    <xf numFmtId="197" fontId="22" fillId="4" borderId="26" xfId="2" applyNumberFormat="1" applyFont="1" applyFill="1" applyBorder="1" applyAlignment="1">
      <alignment horizontal="center" vertical="center"/>
    </xf>
    <xf numFmtId="197" fontId="22" fillId="4" borderId="45" xfId="0" applyNumberFormat="1" applyFont="1" applyFill="1" applyBorder="1" applyAlignment="1">
      <alignment horizontal="center" vertical="center"/>
    </xf>
    <xf numFmtId="197" fontId="22" fillId="4" borderId="16" xfId="0" applyNumberFormat="1" applyFont="1" applyFill="1" applyBorder="1" applyAlignment="1">
      <alignment horizontal="center" vertical="center"/>
    </xf>
    <xf numFmtId="179" fontId="22" fillId="4" borderId="26" xfId="2" applyNumberFormat="1" applyFont="1" applyFill="1" applyBorder="1" applyAlignment="1">
      <alignment horizontal="center" vertical="center"/>
    </xf>
    <xf numFmtId="179" fontId="22" fillId="4" borderId="45" xfId="0" applyNumberFormat="1" applyFont="1" applyFill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left"/>
    </xf>
  </cellXfs>
  <cellStyles count="24">
    <cellStyle name="Comma" xfId="1" builtinId="3"/>
    <cellStyle name="Normal" xfId="0" builtinId="0"/>
    <cellStyle name="Normal 2" xfId="2" xr:uid="{901AD1BE-DB9A-4D0D-B2B9-FCD3D3357B11}"/>
    <cellStyle name="Normal 2 2" xfId="4" xr:uid="{2A908840-A2CE-4866-99C0-86420927BD28}"/>
    <cellStyle name="Normal 2 2 3" xfId="15" xr:uid="{9B088090-F4CE-477A-9ECD-B79B37C0DDFE}"/>
    <cellStyle name="Normal 2 3" xfId="7" xr:uid="{FABC6BA9-BEBF-4DE6-AA70-76BD008520DF}"/>
    <cellStyle name="Normal 2 3 2" xfId="9" xr:uid="{DF0AB0FF-D6E7-40E6-A67E-842CD335A2E4}"/>
    <cellStyle name="Normal 2 3 2 2" xfId="17" xr:uid="{5738806A-B8CD-4E5A-B7F1-E05B955299AA}"/>
    <cellStyle name="Normal 2 4" xfId="11" xr:uid="{DCF587A4-0713-49CF-A9A3-1F179BC28A8A}"/>
    <cellStyle name="Normal 2 4 2" xfId="16" xr:uid="{F4DB90F6-179E-4BF5-876B-3C4546A9182C}"/>
    <cellStyle name="Normal 2 4 3" xfId="20" xr:uid="{823F7E5E-216C-441E-9D4E-CA3536919CFC}"/>
    <cellStyle name="Normal 2 5" xfId="19" xr:uid="{8DF95B29-E4C8-4D1C-83C1-97957AED2EF7}"/>
    <cellStyle name="Normal 3" xfId="13" xr:uid="{8C2BEE3D-3439-462A-B960-BBB1F4C9C982}"/>
    <cellStyle name="Normal 4" xfId="5" xr:uid="{898DEBCB-C195-4CF5-8FA0-22E33C0BAF0C}"/>
    <cellStyle name="Normal 5" xfId="22" xr:uid="{6E38011F-E4B9-4E3A-ABB4-B18C5AA82EFC}"/>
    <cellStyle name="Normal 5 2" xfId="12" xr:uid="{0B0B634E-F18A-46D7-81D9-104D6C359BAB}"/>
    <cellStyle name="Normal 6" xfId="14" xr:uid="{7C41629C-246E-4CAE-9206-B71E1ECB966D}"/>
    <cellStyle name="Normal 8" xfId="23" xr:uid="{3B6A7521-AB41-4629-924A-A80FD6AF6BC9}"/>
    <cellStyle name="Percent" xfId="6" builtinId="5"/>
    <cellStyle name="Percent 2" xfId="3" xr:uid="{2FCC8155-C0C8-4565-A33B-1A760582CAFC}"/>
    <cellStyle name="Percent 2 2" xfId="8" xr:uid="{89DBAD65-652C-4DD2-88E0-9587F03E3A03}"/>
    <cellStyle name="Percent 2 2 2" xfId="10" xr:uid="{C5A01065-62F1-4D5E-84E9-6646DC307759}"/>
    <cellStyle name="Percent 2 2 3" xfId="18" xr:uid="{13C731E8-91CC-4AF0-9BB4-D27B33BC75D3}"/>
    <cellStyle name="Percent 2 3" xfId="21" xr:uid="{B1D67FB3-E09F-47B9-888B-7976EC5D09DB}"/>
  </cellStyles>
  <dxfs count="3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2" defaultPivotStyle="PivotStyleLight16">
    <tableStyle name="Invisible" pivot="0" table="0" count="0" xr9:uid="{8D570096-1DF4-4FAE-A8BC-B5DEF451B0CE}"/>
  </tableStyles>
  <colors>
    <mruColors>
      <color rgb="FFFFFFFF"/>
      <color rgb="FFE6E6E6"/>
      <color rgb="FF0000E1"/>
      <color rgb="FFE4E4E4"/>
      <color rgb="FFE2E2E2"/>
      <color rgb="FFCCFF99"/>
      <color rgb="FF99FF99"/>
      <color rgb="FFFFE7FF"/>
      <color rgb="FFFFFFCC"/>
      <color rgb="FF010B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4702" y="372737"/>
    <xdr:ext cx="1063073" cy="1094420"/>
    <xdr:pic>
      <xdr:nvPicPr>
        <xdr:cNvPr id="2" name="Picture 1">
          <a:extLst>
            <a:ext uri="{FF2B5EF4-FFF2-40B4-BE49-F238E27FC236}">
              <a16:creationId xmlns:a16="http://schemas.microsoft.com/office/drawing/2014/main" id="{86A7A092-6558-44C4-872B-2EB9B34AA8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95" t="8669" r="16842" b="5834"/>
        <a:stretch/>
      </xdr:blipFill>
      <xdr:spPr>
        <a:xfrm>
          <a:off x="184702" y="372737"/>
          <a:ext cx="1063073" cy="109442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Deals%20II\Meyer%20Gage%20Company\Post-Close%20Operations\Sales\Pricing\Pricing%20Files\Itemized%20Price%20List\Price%20List_Itemized%20v18.xlsx" TargetMode="External"/><Relationship Id="rId1" Type="http://schemas.openxmlformats.org/officeDocument/2006/relationships/externalLinkPath" Target="/My%20Drive/Deals%20II/Meyer%20Gage%20Company/Post-Close%20Operations/Sales/Pricing/Pricing%20Files/Itemized%20Price%20List/Price%20List_Itemized%20v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 Inputs &gt;&gt;&gt;"/>
      <sheetName val="Pin Gages"/>
      <sheetName val="Sets"/>
      <sheetName val="Libraries"/>
      <sheetName val="Item Builds &gt;&gt;&gt;"/>
      <sheetName val="Pin Summary"/>
      <sheetName val="Z Pin"/>
      <sheetName val="Metric Z Pin"/>
      <sheetName val="X Pin"/>
      <sheetName val="Metric X Pin"/>
      <sheetName val="XX Pin"/>
      <sheetName val="Metric XX Pin"/>
      <sheetName val="Black Ox"/>
      <sheetName val="ZZ Custom Length II"/>
      <sheetName val="Assemblies -&gt;&gt;"/>
      <sheetName val="Class X MG-25"/>
      <sheetName val="ASSY-PIN, SE"/>
      <sheetName val="ASSY-PIN, DE"/>
      <sheetName val="ASSY-TP"/>
      <sheetName val="ASSY-TR"/>
      <sheetName val="ASSY-PRG"/>
      <sheetName val="Accessories -&gt;&gt;"/>
      <sheetName val="Handles"/>
      <sheetName val="Universal Handles"/>
      <sheetName val="Bushings v1"/>
      <sheetName val="Cases"/>
      <sheetName val="Inserts_Finished"/>
      <sheetName val="End Caps"/>
    </sheetNames>
    <sheetDataSet>
      <sheetData sheetId="0"/>
      <sheetData sheetId="1">
        <row r="20">
          <cell r="B20">
            <v>5.0000000000000001E-3</v>
          </cell>
          <cell r="E20">
            <v>0.22</v>
          </cell>
          <cell r="N20">
            <v>0</v>
          </cell>
          <cell r="O20">
            <v>14</v>
          </cell>
        </row>
        <row r="21">
          <cell r="B21">
            <v>1.1000000000000001E-2</v>
          </cell>
          <cell r="E21">
            <v>0.2767</v>
          </cell>
          <cell r="N21">
            <v>0</v>
          </cell>
          <cell r="O21">
            <v>9</v>
          </cell>
        </row>
        <row r="22">
          <cell r="B22">
            <v>3.1E-2</v>
          </cell>
          <cell r="E22">
            <v>0.78469999999999995</v>
          </cell>
          <cell r="N22">
            <v>0</v>
          </cell>
          <cell r="O22">
            <v>8.5</v>
          </cell>
        </row>
        <row r="23">
          <cell r="B23">
            <v>7.5999999999999998E-2</v>
          </cell>
          <cell r="E23">
            <v>1.92</v>
          </cell>
          <cell r="N23">
            <v>0</v>
          </cell>
          <cell r="O23">
            <v>7</v>
          </cell>
        </row>
        <row r="24">
          <cell r="B24">
            <v>0.18099999999999999</v>
          </cell>
          <cell r="E24">
            <v>4.58</v>
          </cell>
          <cell r="N24">
            <v>0</v>
          </cell>
          <cell r="O24">
            <v>7.5</v>
          </cell>
        </row>
        <row r="25">
          <cell r="B25">
            <v>0.28199999999999997</v>
          </cell>
          <cell r="E25">
            <v>7.1499999999999995</v>
          </cell>
          <cell r="N25">
            <v>0</v>
          </cell>
          <cell r="O25">
            <v>8</v>
          </cell>
        </row>
        <row r="26">
          <cell r="B26">
            <v>0.40699999999999997</v>
          </cell>
          <cell r="E26">
            <v>10.32</v>
          </cell>
          <cell r="N26">
            <v>0</v>
          </cell>
          <cell r="O26">
            <v>9.5</v>
          </cell>
        </row>
        <row r="27">
          <cell r="B27">
            <v>0.5109999999999999</v>
          </cell>
          <cell r="E27">
            <v>12.959999999999999</v>
          </cell>
          <cell r="N27">
            <v>0</v>
          </cell>
          <cell r="O27">
            <v>10.5</v>
          </cell>
        </row>
        <row r="28">
          <cell r="B28">
            <v>0.6359999999999999</v>
          </cell>
          <cell r="E28">
            <v>16.14</v>
          </cell>
          <cell r="N28">
            <v>0</v>
          </cell>
          <cell r="O28">
            <v>14</v>
          </cell>
        </row>
        <row r="29">
          <cell r="B29">
            <v>0.7609999999999999</v>
          </cell>
          <cell r="E29">
            <v>19.310000000000002</v>
          </cell>
          <cell r="N29">
            <v>0</v>
          </cell>
          <cell r="O29">
            <v>18</v>
          </cell>
        </row>
        <row r="36">
          <cell r="B36">
            <v>5.0000000000000001E-3</v>
          </cell>
          <cell r="E36">
            <v>0.22</v>
          </cell>
          <cell r="N36">
            <v>0</v>
          </cell>
          <cell r="O36">
            <v>42</v>
          </cell>
        </row>
        <row r="37">
          <cell r="B37">
            <v>1.0999999999999999E-2</v>
          </cell>
          <cell r="E37">
            <v>0.27786</v>
          </cell>
          <cell r="N37">
            <v>0</v>
          </cell>
          <cell r="O37">
            <v>41</v>
          </cell>
        </row>
        <row r="38">
          <cell r="B38">
            <v>3.1E-2</v>
          </cell>
          <cell r="E38">
            <v>0.78586</v>
          </cell>
          <cell r="N38">
            <v>0</v>
          </cell>
          <cell r="O38">
            <v>33.5</v>
          </cell>
        </row>
        <row r="39">
          <cell r="B39">
            <v>7.5999999999999998E-2</v>
          </cell>
          <cell r="E39">
            <v>1.9288599999999996</v>
          </cell>
          <cell r="N39">
            <v>0</v>
          </cell>
          <cell r="O39">
            <v>30</v>
          </cell>
        </row>
        <row r="40">
          <cell r="B40">
            <v>0.18099999999999999</v>
          </cell>
          <cell r="E40">
            <v>4.5958600000000001</v>
          </cell>
          <cell r="N40">
            <v>0</v>
          </cell>
          <cell r="O40">
            <v>31</v>
          </cell>
        </row>
        <row r="41">
          <cell r="B41">
            <v>0.28199999999999997</v>
          </cell>
          <cell r="E41">
            <v>7.1612599999999995</v>
          </cell>
          <cell r="N41">
            <v>0</v>
          </cell>
          <cell r="O41">
            <v>32.5</v>
          </cell>
        </row>
        <row r="42">
          <cell r="B42">
            <v>0.40699999999999997</v>
          </cell>
          <cell r="E42">
            <v>10.336259999999999</v>
          </cell>
          <cell r="N42">
            <v>0</v>
          </cell>
          <cell r="O42">
            <v>34</v>
          </cell>
        </row>
        <row r="43">
          <cell r="B43">
            <v>0.51100000000000001</v>
          </cell>
          <cell r="E43">
            <v>12.97786</v>
          </cell>
          <cell r="N43">
            <v>0</v>
          </cell>
          <cell r="O43">
            <v>35.5</v>
          </cell>
        </row>
        <row r="44">
          <cell r="B44">
            <v>0.63600000000000001</v>
          </cell>
          <cell r="E44">
            <v>16.15286</v>
          </cell>
          <cell r="N44">
            <v>0</v>
          </cell>
          <cell r="O44">
            <v>38</v>
          </cell>
        </row>
        <row r="45">
          <cell r="B45">
            <v>0.76100000000000001</v>
          </cell>
          <cell r="E45">
            <v>19.327860000000001</v>
          </cell>
          <cell r="N45">
            <v>0</v>
          </cell>
          <cell r="O45">
            <v>40</v>
          </cell>
        </row>
        <row r="52">
          <cell r="B52">
            <v>5.0000000000000001E-3</v>
          </cell>
          <cell r="E52">
            <v>0.22</v>
          </cell>
          <cell r="N52">
            <v>0</v>
          </cell>
          <cell r="O52">
            <v>96</v>
          </cell>
        </row>
        <row r="53">
          <cell r="B53">
            <v>1.0999999999999999E-2</v>
          </cell>
          <cell r="E53">
            <v>0.27786</v>
          </cell>
          <cell r="N53">
            <v>0</v>
          </cell>
          <cell r="O53">
            <v>90</v>
          </cell>
        </row>
        <row r="54">
          <cell r="B54">
            <v>3.1E-2</v>
          </cell>
          <cell r="E54">
            <v>0.78586</v>
          </cell>
          <cell r="N54">
            <v>0</v>
          </cell>
          <cell r="O54">
            <v>78</v>
          </cell>
        </row>
        <row r="55">
          <cell r="B55">
            <v>7.5999999999999998E-2</v>
          </cell>
          <cell r="E55">
            <v>1.9288599999999996</v>
          </cell>
          <cell r="N55">
            <v>0</v>
          </cell>
          <cell r="O55">
            <v>70</v>
          </cell>
        </row>
        <row r="56">
          <cell r="B56">
            <v>0.18099999999999999</v>
          </cell>
          <cell r="E56">
            <v>4.5958600000000001</v>
          </cell>
          <cell r="N56">
            <v>0</v>
          </cell>
          <cell r="O56">
            <v>72</v>
          </cell>
        </row>
        <row r="57">
          <cell r="B57">
            <v>0.28199999999999997</v>
          </cell>
          <cell r="E57">
            <v>7.1612599999999995</v>
          </cell>
          <cell r="N57">
            <v>0</v>
          </cell>
          <cell r="O57">
            <v>74</v>
          </cell>
        </row>
        <row r="58">
          <cell r="B58">
            <v>0.40699999999999997</v>
          </cell>
          <cell r="E58">
            <v>10.336259999999999</v>
          </cell>
          <cell r="N58">
            <v>0</v>
          </cell>
          <cell r="O58">
            <v>76</v>
          </cell>
        </row>
        <row r="59">
          <cell r="B59">
            <v>0.51100000000000001</v>
          </cell>
          <cell r="E59">
            <v>12.97786</v>
          </cell>
          <cell r="N59">
            <v>0</v>
          </cell>
          <cell r="O59">
            <v>80</v>
          </cell>
        </row>
        <row r="60">
          <cell r="B60">
            <v>0.63600000000000001</v>
          </cell>
          <cell r="E60">
            <v>16.15286</v>
          </cell>
          <cell r="N60">
            <v>0</v>
          </cell>
          <cell r="O60">
            <v>88</v>
          </cell>
        </row>
        <row r="61">
          <cell r="B61">
            <v>0.76100000000000001</v>
          </cell>
          <cell r="E61">
            <v>19.327860000000001</v>
          </cell>
          <cell r="N61">
            <v>0</v>
          </cell>
          <cell r="O61">
            <v>100</v>
          </cell>
        </row>
        <row r="67">
          <cell r="B67">
            <v>1.0999999999999999E-2</v>
          </cell>
          <cell r="N67">
            <v>0</v>
          </cell>
          <cell r="O67">
            <v>7</v>
          </cell>
        </row>
        <row r="68">
          <cell r="B68">
            <v>3.1E-2</v>
          </cell>
          <cell r="N68">
            <v>0</v>
          </cell>
          <cell r="O68">
            <v>6</v>
          </cell>
        </row>
        <row r="69">
          <cell r="B69">
            <v>7.5999999999999998E-2</v>
          </cell>
          <cell r="N69">
            <v>0</v>
          </cell>
          <cell r="O69">
            <v>5</v>
          </cell>
        </row>
        <row r="70">
          <cell r="B70">
            <v>0.18099999999999999</v>
          </cell>
          <cell r="N70">
            <v>0</v>
          </cell>
          <cell r="O70">
            <v>5.5</v>
          </cell>
        </row>
        <row r="71">
          <cell r="B71">
            <v>0.28200000000000003</v>
          </cell>
          <cell r="N71">
            <v>0</v>
          </cell>
          <cell r="O71">
            <v>6.5</v>
          </cell>
        </row>
        <row r="72">
          <cell r="B72">
            <v>0.40700000000000003</v>
          </cell>
          <cell r="N72">
            <v>0</v>
          </cell>
          <cell r="O72">
            <v>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en Bryer" id="{10CD4A09-BBBF-4211-9201-1B02EB0F4133}" userId="7964841f1ef2847f" providerId="Windows Live"/>
  <person displayName="Ben Bryer" id="{1C83BDDD-8588-469D-AF67-4D2C589ADF85}" userId="S-1-5-21-1612702470-4241125502-2879973588-2155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2" dT="2025-01-22T00:48:39.31" personId="{1C83BDDD-8588-469D-AF67-4D2C589ADF85}" id="{C89FBC62-8387-4D04-BFCC-492F49DFB489}">
    <text>CL. Z: ranges should begin with .001” (whole-thou) size and end with .0005” (half-thou) size
CL. X: ranges should begin with .001” (whole-thou) size and end with .0009”</text>
  </threadedComment>
  <threadedComment ref="C18" dT="2025-02-16T03:32:23.18" personId="{1C83BDDD-8588-469D-AF67-4D2C589ADF85}" id="{9FB1F3BC-5815-4736-9BE4-0CB87933CFF2}">
    <text>Blades are used down to .030”</text>
  </threadedComment>
  <threadedComment ref="C19" dT="2025-02-16T02:24:15.11" personId="{1C83BDDD-8588-469D-AF67-4D2C589ADF85}" id="{5B325670-79AA-45BE-803F-79EA8B113E90}">
    <text>Sizes &lt;=.075” are fed by hand, one at a time</text>
  </threadedComment>
  <threadedComment ref="F26" dT="2024-12-31T23:50:50.16" personId="{1C83BDDD-8588-469D-AF67-4D2C589ADF85}" id="{C604B7DD-9E3F-4BB0-B58A-5C4215566F04}">
    <text>M81MM goes up to 25.41</text>
  </threadedComment>
  <threadedComment ref="F43" dT="2024-12-31T23:50:50.16" personId="{1C83BDDD-8588-469D-AF67-4D2C589ADF85}" id="{DF9FFD9A-5018-4747-ADCD-6FFFF506BFD3}">
    <text>M81MM goes up to 25.41</text>
  </threadedComment>
  <threadedComment ref="F60" dT="2024-12-31T23:50:50.16" personId="{1C83BDDD-8588-469D-AF67-4D2C589ADF85}" id="{FE1EFA9A-7E18-4EDB-AD1B-9A816D524BDF}">
    <text>M81MM goes up to 25.41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X14" dT="2025-01-15T17:39:33.97" personId="{1C83BDDD-8588-469D-AF67-4D2C589ADF85}" id="{C40802C1-615A-4D0B-B457-C6A2C49D95D9}">
    <text>Option 4, selected by BG and BB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15" dT="2025-01-22T00:48:39.31" personId="{1C83BDDD-8588-469D-AF67-4D2C589ADF85}" id="{EEF15A24-8EC0-47D5-A8EE-B612460DF046}">
    <text>CL. Z: ranges should begin with .001” (whole-thou) size and end with .0005” (half-thou) size
CL. X: ranges should begin with .001” (whole-thou) size and end with .0009”</text>
  </threadedComment>
  <threadedComment ref="V21" dT="2025-02-22T00:03:37.96" personId="{1C83BDDD-8588-469D-AF67-4D2C589ADF85}" id="{6C460996-CABF-4B89-89E0-C812C0E46E3F}">
    <text>Effective for McMaster 3/17 (35% discount)</text>
  </threadedComment>
  <threadedComment ref="I29" dT="2024-12-31T23:50:50.16" personId="{1C83BDDD-8588-469D-AF67-4D2C589ADF85}" id="{3695168B-1B5C-4684-B3D0-6185E45ED082}">
    <text>M81MM goes up to 25.41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E13" dT="2025-01-22T00:48:39.31" personId="{1C83BDDD-8588-469D-AF67-4D2C589ADF85}" id="{08F0C6AD-F2A5-4D52-B380-CD77345350E6}">
    <text>CL. Z: ranges should begin with .001” (whole-thou) size and end with .0005” (half-thou) size
CL. X: ranges should begin with .001” (whole-thou) size and end with .0009”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E9" dT="2025-01-22T00:48:39.31" personId="{1C83BDDD-8588-469D-AF67-4D2C589ADF85}" id="{46B0886D-82E3-4EB4-8530-66B44534ECCB}">
    <text>CL. Z: ranges should begin with .001” (whole-thou) size and end with .0005” (half-thou) size
CL. X: ranges should begin with .001” (whole-thou) size and end with .0009”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AB5" dT="2025-02-02T19:51:12.19" personId="{10CD4A09-BBBF-4211-9201-1B02EB0F4133}" id="{95DB542E-978C-4E09-89E0-76AE692356DB}">
    <text>VG distributor discount</text>
  </threadedComment>
  <threadedComment ref="AB6" dT="2025-02-02T19:51:54.50" personId="{10CD4A09-BBBF-4211-9201-1B02EB0F4133}" id="{33FC1465-0517-4ABA-8CB2-691FCABFF9F8}">
    <text>MG distributor discount</text>
  </threadedComment>
  <threadedComment ref="AB7" dT="2025-01-22T02:22:49.81" personId="{1C83BDDD-8588-469D-AF67-4D2C589ADF85}" id="{C7CAD648-ADDF-4603-9292-06F13F8220C0}">
    <text>Chrome premium to steel (to differentiate pricing structure from VG)</text>
  </threadedComment>
  <threadedComment ref="W12" dT="2025-01-22T02:38:36.26" personId="{1C83BDDD-8588-469D-AF67-4D2C589ADF85}" id="{455DC78F-AB12-4C00-8A08-3709AF4A36AF}">
    <text xml:space="preserve">Vermont Prices .0600” to .0700”
</text>
  </threadedComment>
  <threadedComment ref="Y40" dT="2025-01-22T02:39:30.27" personId="{1C83BDDD-8588-469D-AF67-4D2C589ADF85}" id="{4BF3A917-1429-443D-B8B9-A76C7BA6E076}">
    <text>Average of two Vermont size ranges:
1) 1.1351” - 1.3350”
2) 1.3351” to 1.5100”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J9" dT="2025-01-20T02:57:18.64" personId="{1C83BDDD-8588-469D-AF67-4D2C589ADF85}" id="{569677E0-81D7-4B54-B93B-2E09BF0A05D3}">
    <text>Discount to DE price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K8" dT="2025-01-22T00:48:39.31" personId="{1C83BDDD-8588-469D-AF67-4D2C589ADF85}" id="{4358BE31-2B51-426F-A674-816B8CE706C3}">
    <text>CL. Z: ranges should begin with .001” (whole-thou) size and end with .0005” (half-thou) size
CL. X: ranges should begin with .001” (whole-thou) size and end with .0009”</text>
  </threadedComment>
  <threadedComment ref="AK9" dT="2025-04-06T05:35:23.53" personId="{10CD4A09-BBBF-4211-9201-1B02EB0F4133}" id="{ADFCA93B-05FA-41B1-96B5-118DE37F38E2}">
    <text>Assy premium (labor, packaging, etc.)</text>
  </threadedComment>
  <threadedComment ref="AP9" dT="2025-04-06T05:35:23.53" personId="{10CD4A09-BBBF-4211-9201-1B02EB0F4133}" id="{FB6F0EB6-8584-4BC8-AB27-E47842827B9A}">
    <text>Assy premium (labor, packaging, etc.)</text>
  </threadedComment>
  <threadedComment ref="S14" dT="2025-02-22T00:03:37.96" personId="{1C83BDDD-8588-469D-AF67-4D2C589ADF85}" id="{DA02847A-4A9A-4A0A-A446-8D0CDC53CE6C}">
    <text>Effective for McMaster 3/17 (35% discount)</text>
  </threadedComment>
  <threadedComment ref="F21" dT="2024-12-11T23:47:09.07" personId="{1C83BDDD-8588-469D-AF67-4D2C589ADF85}" id="{809B0588-4406-473F-B25D-5EAFBF65ED8B}">
    <text>Max. black ox pin size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Relationship Id="rId4" Type="http://schemas.microsoft.com/office/2017/10/relationships/threadedComment" Target="../threadedComments/threadedComment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Relationship Id="rId4" Type="http://schemas.microsoft.com/office/2017/10/relationships/threadedComment" Target="../threadedComments/threadedComment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6.bin"/><Relationship Id="rId4" Type="http://schemas.microsoft.com/office/2017/10/relationships/threadedComment" Target="../threadedComments/threadedComment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1.bin"/><Relationship Id="rId4" Type="http://schemas.microsoft.com/office/2017/10/relationships/threadedComment" Target="../threadedComments/threadedComment7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6.bin"/><Relationship Id="rId4" Type="http://schemas.microsoft.com/office/2017/10/relationships/threadedComment" Target="../threadedComments/threadedComment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CED9C-C0FB-4E29-80F6-1F2752729218}">
  <sheetPr codeName="Sheet5">
    <tabColor rgb="FFFF0000"/>
  </sheetPr>
  <dimension ref="B2:O57"/>
  <sheetViews>
    <sheetView zoomScale="80" zoomScaleNormal="80" workbookViewId="0">
      <selection activeCell="S31" sqref="S31"/>
    </sheetView>
  </sheetViews>
  <sheetFormatPr defaultRowHeight="15" x14ac:dyDescent="0.25"/>
  <cols>
    <col min="1" max="1" width="1.7109375" customWidth="1"/>
    <col min="2" max="2" width="15.42578125" customWidth="1"/>
    <col min="3" max="3" width="29.7109375" customWidth="1"/>
    <col min="4" max="4" width="16.28515625" customWidth="1"/>
    <col min="5" max="6" width="13.140625" customWidth="1"/>
    <col min="7" max="7" width="13.140625" style="11" customWidth="1"/>
    <col min="8" max="8" width="12.28515625" customWidth="1"/>
    <col min="9" max="9" width="14.28515625" style="3" customWidth="1"/>
    <col min="10" max="11" width="14.28515625" customWidth="1"/>
    <col min="12" max="12" width="14.28515625" style="3" customWidth="1"/>
    <col min="13" max="13" width="17.28515625" customWidth="1"/>
    <col min="14" max="15" width="13.5703125" customWidth="1"/>
  </cols>
  <sheetData>
    <row r="2" spans="2:12" ht="15.75" x14ac:dyDescent="0.25">
      <c r="B2" s="1168" t="s">
        <v>1350</v>
      </c>
    </row>
    <row r="3" spans="2:12" ht="4.9000000000000004" customHeight="1" x14ac:dyDescent="0.25"/>
    <row r="4" spans="2:12" x14ac:dyDescent="0.25">
      <c r="B4" s="46" t="s">
        <v>1311</v>
      </c>
    </row>
    <row r="5" spans="2:12" x14ac:dyDescent="0.25">
      <c r="B5" s="46" t="s">
        <v>1352</v>
      </c>
    </row>
    <row r="6" spans="2:12" x14ac:dyDescent="0.25">
      <c r="B6" t="s">
        <v>1346</v>
      </c>
    </row>
    <row r="7" spans="2:12" x14ac:dyDescent="0.25">
      <c r="B7" t="s">
        <v>876</v>
      </c>
    </row>
    <row r="8" spans="2:12" x14ac:dyDescent="0.25">
      <c r="B8" s="46" t="s">
        <v>729</v>
      </c>
    </row>
    <row r="9" spans="2:12" x14ac:dyDescent="0.25">
      <c r="B9" s="46" t="s">
        <v>728</v>
      </c>
    </row>
    <row r="10" spans="2:12" x14ac:dyDescent="0.25">
      <c r="B10" s="46" t="s">
        <v>730</v>
      </c>
    </row>
    <row r="11" spans="2:12" x14ac:dyDescent="0.25">
      <c r="B11" s="46" t="s">
        <v>1407</v>
      </c>
      <c r="E11" t="s">
        <v>1353</v>
      </c>
    </row>
    <row r="12" spans="2:12" x14ac:dyDescent="0.25">
      <c r="B12" s="46" t="s">
        <v>973</v>
      </c>
    </row>
    <row r="13" spans="2:12" x14ac:dyDescent="0.25">
      <c r="B13" s="46" t="s">
        <v>972</v>
      </c>
    </row>
    <row r="14" spans="2:12" x14ac:dyDescent="0.25">
      <c r="B14" t="s">
        <v>1310</v>
      </c>
    </row>
    <row r="16" spans="2:12" x14ac:dyDescent="0.25">
      <c r="B16" s="774" t="s">
        <v>922</v>
      </c>
      <c r="C16" s="774" t="s">
        <v>923</v>
      </c>
      <c r="D16" s="493" t="s">
        <v>933</v>
      </c>
      <c r="E16" s="775" t="s">
        <v>622</v>
      </c>
      <c r="F16" s="775" t="s">
        <v>623</v>
      </c>
      <c r="G16" s="1231" t="s">
        <v>1406</v>
      </c>
      <c r="I16" s="493" t="s">
        <v>1301</v>
      </c>
      <c r="L16"/>
    </row>
    <row r="17" spans="2:14" x14ac:dyDescent="0.25">
      <c r="B17" s="3"/>
      <c r="C17" s="3"/>
      <c r="E17" s="374"/>
      <c r="F17" s="374"/>
      <c r="I17" s="46" t="s">
        <v>734</v>
      </c>
      <c r="L17"/>
    </row>
    <row r="18" spans="2:14" x14ac:dyDescent="0.25">
      <c r="B18" s="2">
        <v>260</v>
      </c>
      <c r="C18" s="731" t="str">
        <f>_xlfn.XLOOKUP(B18,'Discount Groups'!$B$7:$B$93,'Discount Groups'!$C$7:$C$93,0)</f>
        <v>Handles</v>
      </c>
      <c r="D18" s="13" t="s">
        <v>884</v>
      </c>
      <c r="E18" s="859">
        <v>0.3</v>
      </c>
      <c r="F18" s="859">
        <v>0.2</v>
      </c>
      <c r="G18" s="18" t="s">
        <v>197</v>
      </c>
      <c r="I18" s="46" t="s">
        <v>602</v>
      </c>
      <c r="M18" s="3"/>
    </row>
    <row r="19" spans="2:14" x14ac:dyDescent="0.25">
      <c r="B19" s="2">
        <v>270</v>
      </c>
      <c r="C19" s="731" t="str">
        <f>_xlfn.XLOOKUP(B19,'Discount Groups'!$B$7:$B$93,'Discount Groups'!$C$7:$C$93,0)</f>
        <v>Bushings</v>
      </c>
      <c r="D19" s="13" t="s">
        <v>884</v>
      </c>
      <c r="E19" s="859">
        <v>0.3</v>
      </c>
      <c r="F19" s="859">
        <v>0.2</v>
      </c>
      <c r="G19" s="18" t="s">
        <v>197</v>
      </c>
      <c r="I19" s="46" t="s">
        <v>1300</v>
      </c>
      <c r="M19" s="3"/>
    </row>
    <row r="20" spans="2:14" x14ac:dyDescent="0.25">
      <c r="B20" s="2">
        <v>280</v>
      </c>
      <c r="C20" s="731" t="str">
        <f>_xlfn.XLOOKUP(B20,'Discount Groups'!$B$7:$B$93,'Discount Groups'!$C$7:$C$93,0)</f>
        <v>Accessories</v>
      </c>
      <c r="D20" s="13" t="s">
        <v>884</v>
      </c>
      <c r="E20" s="859">
        <v>0.3</v>
      </c>
      <c r="F20" s="859">
        <v>0.2</v>
      </c>
      <c r="G20" s="18" t="s">
        <v>197</v>
      </c>
      <c r="I20" s="46" t="s">
        <v>1299</v>
      </c>
      <c r="M20" s="3"/>
    </row>
    <row r="21" spans="2:14" x14ac:dyDescent="0.25">
      <c r="B21" s="2">
        <v>320</v>
      </c>
      <c r="C21" s="731" t="str">
        <f>_xlfn.XLOOKUP(B21,'Discount Groups'!$B$7:$B$93,'Discount Groups'!$C$7:$C$93,0)</f>
        <v>Calibration Services</v>
      </c>
      <c r="D21" s="13" t="s">
        <v>884</v>
      </c>
      <c r="E21" s="859">
        <v>0.2</v>
      </c>
      <c r="F21" s="859">
        <v>0.15</v>
      </c>
      <c r="G21" s="18" t="s">
        <v>197</v>
      </c>
      <c r="I21" s="46" t="s">
        <v>1298</v>
      </c>
      <c r="N21" s="522"/>
    </row>
    <row r="22" spans="2:14" x14ac:dyDescent="0.25">
      <c r="B22" s="2">
        <v>760</v>
      </c>
      <c r="C22" s="731" t="str">
        <f>_xlfn.XLOOKUP(B22,'Discount Groups'!$B$7:$B$93,'Discount Groups'!$C$7:$C$93,0)</f>
        <v>Laser Marking</v>
      </c>
      <c r="D22" s="13" t="s">
        <v>884</v>
      </c>
      <c r="E22" s="859">
        <v>0.2</v>
      </c>
      <c r="F22" s="859">
        <v>0</v>
      </c>
      <c r="G22" s="18" t="s">
        <v>197</v>
      </c>
      <c r="I22" s="46" t="s">
        <v>408</v>
      </c>
      <c r="N22" s="522"/>
    </row>
    <row r="23" spans="2:14" x14ac:dyDescent="0.25">
      <c r="B23" s="2"/>
      <c r="C23" s="731"/>
      <c r="D23" s="13"/>
      <c r="E23" s="859"/>
      <c r="F23" s="859"/>
      <c r="G23" s="18"/>
      <c r="N23" s="522"/>
    </row>
    <row r="24" spans="2:14" x14ac:dyDescent="0.25">
      <c r="B24" s="2">
        <v>210</v>
      </c>
      <c r="C24" s="731" t="str">
        <f>_xlfn.XLOOKUP(B24,'Discount Groups'!$B$7:$B$93,'Discount Groups'!$C$7:$C$93,0)</f>
        <v>Class X MG-25 Series</v>
      </c>
      <c r="D24" s="13" t="s">
        <v>885</v>
      </c>
      <c r="E24" s="859">
        <v>0.25</v>
      </c>
      <c r="F24" s="1340">
        <v>0.25</v>
      </c>
      <c r="G24" s="18" t="s">
        <v>197</v>
      </c>
      <c r="I24" s="976"/>
      <c r="N24" s="522"/>
    </row>
    <row r="25" spans="2:14" x14ac:dyDescent="0.25">
      <c r="B25" s="2">
        <v>220</v>
      </c>
      <c r="C25" s="731" t="str">
        <f>_xlfn.XLOOKUP(B25,'Discount Groups'!$B$7:$B$93,'Discount Groups'!$C$7:$C$93,0)</f>
        <v>Class Z Go/NoGo Assy</v>
      </c>
      <c r="D25" s="13" t="s">
        <v>885</v>
      </c>
      <c r="E25" s="859">
        <v>0.45</v>
      </c>
      <c r="F25" s="859">
        <v>0.35</v>
      </c>
      <c r="G25" s="18" t="s">
        <v>197</v>
      </c>
      <c r="I25" s="976"/>
    </row>
    <row r="26" spans="2:14" x14ac:dyDescent="0.25">
      <c r="B26" s="2">
        <v>225</v>
      </c>
      <c r="C26" s="731" t="str">
        <f>_xlfn.XLOOKUP(B26,'Discount Groups'!$B$7:$B$93,'Discount Groups'!$C$7:$C$93,0)</f>
        <v>Class Z Single-End Assy</v>
      </c>
      <c r="D26" s="13" t="s">
        <v>885</v>
      </c>
      <c r="E26" s="859">
        <v>0.4</v>
      </c>
      <c r="F26" s="859">
        <v>0.35</v>
      </c>
      <c r="G26" s="18" t="s">
        <v>197</v>
      </c>
      <c r="I26" s="976"/>
    </row>
    <row r="27" spans="2:14" x14ac:dyDescent="0.25">
      <c r="B27" s="2">
        <v>240</v>
      </c>
      <c r="C27" s="731" t="str">
        <f>_xlfn.XLOOKUP(B27,'Discount Groups'!$B$7:$B$93,'Discount Groups'!$C$7:$C$93,0)</f>
        <v>Metric Class Z Go/NoGo Assy</v>
      </c>
      <c r="D27" s="13" t="s">
        <v>885</v>
      </c>
      <c r="E27" s="859">
        <v>0.45</v>
      </c>
      <c r="F27" s="859">
        <v>0.35</v>
      </c>
      <c r="G27" s="18" t="s">
        <v>197</v>
      </c>
      <c r="I27" s="976"/>
    </row>
    <row r="28" spans="2:14" x14ac:dyDescent="0.25">
      <c r="B28" s="2">
        <v>245</v>
      </c>
      <c r="C28" s="731" t="str">
        <f>_xlfn.XLOOKUP(B28,'Discount Groups'!$B$7:$B$93,'Discount Groups'!$C$7:$C$93,0)</f>
        <v>Metric Class Z Single-End Assy</v>
      </c>
      <c r="D28" s="13" t="s">
        <v>885</v>
      </c>
      <c r="E28" s="859">
        <v>0.4</v>
      </c>
      <c r="F28" s="859">
        <v>0.35</v>
      </c>
      <c r="G28" s="18" t="s">
        <v>197</v>
      </c>
      <c r="I28" s="976"/>
    </row>
    <row r="29" spans="2:14" x14ac:dyDescent="0.25">
      <c r="B29" s="2">
        <v>260</v>
      </c>
      <c r="C29" s="731" t="str">
        <f>_xlfn.XLOOKUP(B29,'Discount Groups'!$B$7:$B$93,'Discount Groups'!$C$7:$C$93,0)</f>
        <v>Handles</v>
      </c>
      <c r="D29" s="13" t="s">
        <v>885</v>
      </c>
      <c r="E29" s="859">
        <v>0.4</v>
      </c>
      <c r="F29" s="859">
        <v>0.3</v>
      </c>
      <c r="G29" s="18" t="s">
        <v>197</v>
      </c>
      <c r="I29" s="976"/>
    </row>
    <row r="30" spans="2:14" x14ac:dyDescent="0.25">
      <c r="B30" s="2">
        <v>270</v>
      </c>
      <c r="C30" s="731" t="str">
        <f>_xlfn.XLOOKUP(B30,'Discount Groups'!$B$7:$B$93,'Discount Groups'!$C$7:$C$93,0)</f>
        <v>Bushings</v>
      </c>
      <c r="D30" s="13" t="s">
        <v>885</v>
      </c>
      <c r="E30" s="859">
        <v>0.4</v>
      </c>
      <c r="F30" s="859">
        <v>0.3</v>
      </c>
      <c r="G30" s="18" t="s">
        <v>197</v>
      </c>
      <c r="I30" s="976"/>
    </row>
    <row r="31" spans="2:14" x14ac:dyDescent="0.25">
      <c r="B31" s="2">
        <v>280</v>
      </c>
      <c r="C31" s="731" t="str">
        <f>_xlfn.XLOOKUP(B31,'Discount Groups'!$B$7:$B$93,'Discount Groups'!$C$7:$C$93,0)</f>
        <v>Accessories</v>
      </c>
      <c r="D31" s="13" t="s">
        <v>885</v>
      </c>
      <c r="E31" s="859">
        <v>0.4</v>
      </c>
      <c r="F31" s="859">
        <v>0.3</v>
      </c>
      <c r="G31" s="18" t="s">
        <v>197</v>
      </c>
      <c r="I31" s="976"/>
    </row>
    <row r="32" spans="2:14" x14ac:dyDescent="0.25">
      <c r="B32" s="2">
        <v>320</v>
      </c>
      <c r="C32" s="731" t="str">
        <f>_xlfn.XLOOKUP(B32,'Discount Groups'!$B$7:$B$93,'Discount Groups'!$C$7:$C$93,0)</f>
        <v>Calibration Services</v>
      </c>
      <c r="D32" s="13" t="s">
        <v>885</v>
      </c>
      <c r="E32" s="859">
        <v>0.2</v>
      </c>
      <c r="F32" s="859">
        <v>0.15</v>
      </c>
      <c r="G32" s="18" t="s">
        <v>197</v>
      </c>
      <c r="I32" s="976"/>
    </row>
    <row r="33" spans="2:15" x14ac:dyDescent="0.25">
      <c r="B33" s="2"/>
      <c r="C33" s="731"/>
      <c r="D33" s="13"/>
      <c r="E33" s="859"/>
      <c r="F33" s="859"/>
      <c r="G33" s="18"/>
      <c r="I33" s="976"/>
    </row>
    <row r="34" spans="2:15" x14ac:dyDescent="0.25">
      <c r="B34" s="2">
        <v>160</v>
      </c>
      <c r="C34" s="731" t="str">
        <f>_xlfn.XLOOKUP(B34,'Discount Groups'!$B$7:$B$93,'Discount Groups'!$C$7:$C$93,0)</f>
        <v>Class X Sets</v>
      </c>
      <c r="D34" s="13" t="s">
        <v>863</v>
      </c>
      <c r="E34" s="859">
        <v>0.25</v>
      </c>
      <c r="F34" s="859">
        <v>0.2</v>
      </c>
      <c r="G34" s="18" t="s">
        <v>197</v>
      </c>
      <c r="I34" s="976"/>
      <c r="L34"/>
    </row>
    <row r="35" spans="2:15" x14ac:dyDescent="0.25">
      <c r="B35" s="2">
        <v>210</v>
      </c>
      <c r="C35" s="731" t="str">
        <f>_xlfn.XLOOKUP(B35,'Discount Groups'!$B$7:$B$93,'Discount Groups'!$C$7:$C$93,0)</f>
        <v>Class X MG-25 Series</v>
      </c>
      <c r="D35" s="13" t="s">
        <v>863</v>
      </c>
      <c r="E35" s="859">
        <v>0.25</v>
      </c>
      <c r="F35" s="859">
        <v>0.2</v>
      </c>
      <c r="G35" s="18" t="s">
        <v>197</v>
      </c>
      <c r="I35" s="976"/>
      <c r="L35"/>
    </row>
    <row r="36" spans="2:15" x14ac:dyDescent="0.25">
      <c r="B36" s="2">
        <v>260</v>
      </c>
      <c r="C36" s="731" t="str">
        <f>_xlfn.XLOOKUP(B36,'Discount Groups'!$B$7:$B$93,'Discount Groups'!$C$7:$C$93,0)</f>
        <v>Handles</v>
      </c>
      <c r="D36" s="13" t="s">
        <v>863</v>
      </c>
      <c r="E36" s="859">
        <v>0.3</v>
      </c>
      <c r="F36" s="859">
        <v>0.25</v>
      </c>
      <c r="G36" s="18" t="s">
        <v>197</v>
      </c>
      <c r="I36" s="976"/>
      <c r="L36"/>
    </row>
    <row r="37" spans="2:15" x14ac:dyDescent="0.25">
      <c r="B37" s="2">
        <v>270</v>
      </c>
      <c r="C37" s="731" t="str">
        <f>_xlfn.XLOOKUP(B37,'Discount Groups'!$B$7:$B$93,'Discount Groups'!$C$7:$C$93,0)</f>
        <v>Bushings</v>
      </c>
      <c r="D37" s="13" t="s">
        <v>863</v>
      </c>
      <c r="E37" s="859">
        <v>0.3</v>
      </c>
      <c r="F37" s="859">
        <v>0.25</v>
      </c>
      <c r="G37" s="18" t="s">
        <v>197</v>
      </c>
      <c r="I37" s="976"/>
      <c r="L37"/>
    </row>
    <row r="38" spans="2:15" x14ac:dyDescent="0.25">
      <c r="B38" s="2">
        <v>280</v>
      </c>
      <c r="C38" s="731" t="str">
        <f>_xlfn.XLOOKUP(B38,'Discount Groups'!$B$7:$B$93,'Discount Groups'!$C$7:$C$93,0)</f>
        <v>Accessories</v>
      </c>
      <c r="D38" s="13" t="s">
        <v>863</v>
      </c>
      <c r="E38" s="859">
        <v>0.4</v>
      </c>
      <c r="F38" s="859">
        <v>0.3</v>
      </c>
      <c r="G38" s="18" t="s">
        <v>197</v>
      </c>
      <c r="L38"/>
    </row>
    <row r="39" spans="2:15" x14ac:dyDescent="0.25">
      <c r="B39" s="2">
        <v>320</v>
      </c>
      <c r="C39" s="731" t="str">
        <f>_xlfn.XLOOKUP(B39,'Discount Groups'!$B$7:$B$93,'Discount Groups'!$C$7:$C$93,0)</f>
        <v>Calibration Services</v>
      </c>
      <c r="D39" s="13" t="s">
        <v>863</v>
      </c>
      <c r="E39" s="859">
        <v>0.2</v>
      </c>
      <c r="F39" s="859">
        <v>0.15</v>
      </c>
      <c r="G39" s="18" t="s">
        <v>197</v>
      </c>
      <c r="N39" s="374"/>
      <c r="O39" s="374"/>
    </row>
    <row r="40" spans="2:15" x14ac:dyDescent="0.25">
      <c r="G40" s="18"/>
      <c r="N40" s="374"/>
      <c r="O40" s="374"/>
    </row>
    <row r="41" spans="2:15" x14ac:dyDescent="0.25">
      <c r="N41" s="374"/>
      <c r="O41" s="374"/>
    </row>
    <row r="42" spans="2:15" ht="11.45" customHeight="1" x14ac:dyDescent="0.25">
      <c r="B42" s="1168" t="s">
        <v>687</v>
      </c>
      <c r="C42" s="493"/>
      <c r="N42" s="374"/>
      <c r="O42" s="374"/>
    </row>
    <row r="43" spans="2:15" ht="4.9000000000000004" customHeight="1" x14ac:dyDescent="0.25">
      <c r="B43" s="774"/>
      <c r="C43" s="493"/>
      <c r="N43" s="374"/>
      <c r="O43" s="374"/>
    </row>
    <row r="44" spans="2:15" x14ac:dyDescent="0.25">
      <c r="B44" s="3" t="s">
        <v>731</v>
      </c>
      <c r="N44" s="374"/>
      <c r="O44" s="374"/>
    </row>
    <row r="45" spans="2:15" x14ac:dyDescent="0.25">
      <c r="B45" s="3" t="s">
        <v>732</v>
      </c>
      <c r="C45" s="391"/>
      <c r="N45" s="374"/>
      <c r="O45" s="374"/>
    </row>
    <row r="46" spans="2:15" x14ac:dyDescent="0.25">
      <c r="B46" s="3" t="s">
        <v>662</v>
      </c>
      <c r="C46" s="391"/>
      <c r="N46" s="374"/>
      <c r="O46" s="374"/>
    </row>
    <row r="47" spans="2:15" x14ac:dyDescent="0.25">
      <c r="B47" s="3" t="s">
        <v>660</v>
      </c>
      <c r="C47" s="391"/>
      <c r="N47" s="374"/>
      <c r="O47" s="374"/>
    </row>
    <row r="48" spans="2:15" x14ac:dyDescent="0.25">
      <c r="B48" s="3" t="s">
        <v>661</v>
      </c>
      <c r="C48" s="391"/>
    </row>
    <row r="49" spans="2:3" x14ac:dyDescent="0.25">
      <c r="B49" s="3" t="s">
        <v>668</v>
      </c>
      <c r="C49" s="391"/>
    </row>
    <row r="50" spans="2:3" x14ac:dyDescent="0.25">
      <c r="B50" s="3" t="s">
        <v>663</v>
      </c>
      <c r="C50" s="391"/>
    </row>
    <row r="51" spans="2:3" x14ac:dyDescent="0.25">
      <c r="B51" s="3" t="s">
        <v>862</v>
      </c>
      <c r="C51" s="391"/>
    </row>
    <row r="52" spans="2:3" x14ac:dyDescent="0.25">
      <c r="C52" s="391"/>
    </row>
    <row r="53" spans="2:3" x14ac:dyDescent="0.25">
      <c r="B53" s="3"/>
      <c r="C53" s="391"/>
    </row>
    <row r="54" spans="2:3" x14ac:dyDescent="0.25">
      <c r="B54" s="3"/>
      <c r="C54" s="391"/>
    </row>
    <row r="55" spans="2:3" x14ac:dyDescent="0.25">
      <c r="B55" s="391"/>
      <c r="C55" s="391"/>
    </row>
    <row r="56" spans="2:3" x14ac:dyDescent="0.25">
      <c r="B56" s="391"/>
      <c r="C56" s="391"/>
    </row>
    <row r="57" spans="2:3" x14ac:dyDescent="0.25">
      <c r="B57" s="391"/>
      <c r="C57" s="39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BE309-0AA8-49F8-B805-A124C02AE43B}">
  <sheetPr codeName="Sheet2"/>
  <dimension ref="B1:I93"/>
  <sheetViews>
    <sheetView zoomScale="80" zoomScaleNormal="80" workbookViewId="0">
      <pane ySplit="6" topLeftCell="A55" activePane="bottomLeft" state="frozen"/>
      <selection pane="bottomLeft" activeCell="H77" sqref="H77"/>
    </sheetView>
  </sheetViews>
  <sheetFormatPr defaultRowHeight="15" x14ac:dyDescent="0.25"/>
  <cols>
    <col min="1" max="1" width="1.7109375" customWidth="1"/>
    <col min="2" max="2" width="17.7109375" style="3" customWidth="1"/>
    <col min="3" max="3" width="39.28515625" style="3" customWidth="1"/>
    <col min="4" max="4" width="17.5703125" style="3" customWidth="1"/>
    <col min="5" max="6" width="21.140625" style="3" customWidth="1"/>
    <col min="7" max="7" width="22" style="3" customWidth="1"/>
    <col min="8" max="8" width="59.28515625" style="391" customWidth="1"/>
    <col min="9" max="9" width="9.140625" style="3"/>
  </cols>
  <sheetData>
    <row r="1" spans="2:8" ht="6" customHeight="1" x14ac:dyDescent="0.25"/>
    <row r="2" spans="2:8" ht="18.75" x14ac:dyDescent="0.3">
      <c r="B2" s="482" t="s">
        <v>750</v>
      </c>
    </row>
    <row r="3" spans="2:8" x14ac:dyDescent="0.25">
      <c r="B3" s="21" t="s">
        <v>1318</v>
      </c>
      <c r="G3" s="1077"/>
    </row>
    <row r="4" spans="2:8" x14ac:dyDescent="0.25">
      <c r="B4" s="572">
        <v>45752</v>
      </c>
    </row>
    <row r="6" spans="2:8" x14ac:dyDescent="0.25">
      <c r="B6" s="38" t="s">
        <v>751</v>
      </c>
      <c r="C6" s="38" t="s">
        <v>752</v>
      </c>
      <c r="D6" s="38" t="s">
        <v>753</v>
      </c>
      <c r="E6" s="38" t="s">
        <v>754</v>
      </c>
      <c r="F6" s="38" t="s">
        <v>755</v>
      </c>
      <c r="G6" s="38" t="s">
        <v>756</v>
      </c>
      <c r="H6" s="1078" t="s">
        <v>1320</v>
      </c>
    </row>
    <row r="7" spans="2:8" x14ac:dyDescent="0.25">
      <c r="B7" s="3">
        <v>100</v>
      </c>
      <c r="C7" s="3" t="s">
        <v>757</v>
      </c>
      <c r="D7" s="3" t="s">
        <v>758</v>
      </c>
      <c r="E7" s="1074">
        <v>38091.418877314813</v>
      </c>
      <c r="F7" s="1074">
        <v>45656.213440046296</v>
      </c>
      <c r="G7" s="3" t="s">
        <v>759</v>
      </c>
      <c r="H7" s="1079" t="s">
        <v>929</v>
      </c>
    </row>
    <row r="8" spans="2:8" x14ac:dyDescent="0.25">
      <c r="B8" s="3">
        <v>101</v>
      </c>
      <c r="C8" s="3" t="s">
        <v>760</v>
      </c>
      <c r="D8" s="3" t="s">
        <v>758</v>
      </c>
      <c r="E8" s="1074">
        <v>45172.650322106485</v>
      </c>
      <c r="F8" s="1074">
        <v>45656.213689270837</v>
      </c>
      <c r="G8" s="3" t="s">
        <v>759</v>
      </c>
      <c r="H8" s="1079" t="s">
        <v>929</v>
      </c>
    </row>
    <row r="9" spans="2:8" x14ac:dyDescent="0.25">
      <c r="B9" s="3">
        <v>105</v>
      </c>
      <c r="C9" s="3" t="s">
        <v>761</v>
      </c>
      <c r="D9" s="3" t="s">
        <v>758</v>
      </c>
      <c r="E9" s="1074">
        <v>39930.603726851848</v>
      </c>
      <c r="F9" s="1074">
        <v>45403.498333796299</v>
      </c>
      <c r="G9" s="3" t="s">
        <v>762</v>
      </c>
      <c r="H9" s="1079" t="s">
        <v>929</v>
      </c>
    </row>
    <row r="10" spans="2:8" x14ac:dyDescent="0.25">
      <c r="B10" s="3">
        <v>106</v>
      </c>
      <c r="C10" s="3" t="s">
        <v>709</v>
      </c>
      <c r="D10" s="3" t="s">
        <v>758</v>
      </c>
      <c r="E10" s="1074">
        <v>40087.467627314814</v>
      </c>
      <c r="F10" s="1074">
        <v>45403.498726620368</v>
      </c>
      <c r="G10" s="3" t="s">
        <v>762</v>
      </c>
      <c r="H10" s="1079" t="s">
        <v>929</v>
      </c>
    </row>
    <row r="11" spans="2:8" x14ac:dyDescent="0.25">
      <c r="B11" s="1072">
        <v>110</v>
      </c>
      <c r="C11" s="1072" t="s">
        <v>763</v>
      </c>
      <c r="D11" s="1072" t="s">
        <v>758</v>
      </c>
      <c r="E11" s="1073">
        <v>38091.418877314813</v>
      </c>
      <c r="F11" s="1073">
        <v>45656.213910648148</v>
      </c>
      <c r="G11" s="1072" t="s">
        <v>759</v>
      </c>
      <c r="H11" s="1079" t="s">
        <v>1322</v>
      </c>
    </row>
    <row r="12" spans="2:8" x14ac:dyDescent="0.25">
      <c r="B12" s="3">
        <v>115</v>
      </c>
      <c r="C12" s="3" t="s">
        <v>764</v>
      </c>
      <c r="D12" s="3" t="s">
        <v>758</v>
      </c>
      <c r="E12" s="1074">
        <v>38155.924803240741</v>
      </c>
      <c r="F12" s="1074">
        <v>45656.214072222225</v>
      </c>
      <c r="G12" s="3" t="s">
        <v>759</v>
      </c>
      <c r="H12" s="1079" t="s">
        <v>929</v>
      </c>
    </row>
    <row r="13" spans="2:8" x14ac:dyDescent="0.25">
      <c r="B13" s="3">
        <v>120</v>
      </c>
      <c r="C13" s="3" t="s">
        <v>129</v>
      </c>
      <c r="D13" s="3" t="s">
        <v>758</v>
      </c>
      <c r="E13" s="1074">
        <v>38091.418877314813</v>
      </c>
      <c r="F13" s="1074">
        <v>45656.214230868056</v>
      </c>
      <c r="G13" s="3" t="s">
        <v>759</v>
      </c>
      <c r="H13" s="1079" t="s">
        <v>929</v>
      </c>
    </row>
    <row r="14" spans="2:8" x14ac:dyDescent="0.25">
      <c r="B14" s="3">
        <v>130</v>
      </c>
      <c r="C14" s="3" t="s">
        <v>765</v>
      </c>
      <c r="D14" s="3" t="s">
        <v>758</v>
      </c>
      <c r="E14" s="1074">
        <v>38091.418877314813</v>
      </c>
      <c r="F14" s="1074">
        <v>45656.214378356482</v>
      </c>
      <c r="G14" s="3" t="s">
        <v>759</v>
      </c>
      <c r="H14" s="1079" t="s">
        <v>929</v>
      </c>
    </row>
    <row r="15" spans="2:8" x14ac:dyDescent="0.25">
      <c r="B15" s="1072">
        <v>140</v>
      </c>
      <c r="C15" s="1072" t="s">
        <v>766</v>
      </c>
      <c r="D15" s="1072" t="s">
        <v>758</v>
      </c>
      <c r="E15" s="1073">
        <v>38091.418877314813</v>
      </c>
      <c r="F15" s="1073">
        <v>45656.214546990741</v>
      </c>
      <c r="G15" s="1072" t="s">
        <v>759</v>
      </c>
      <c r="H15" s="1079" t="s">
        <v>929</v>
      </c>
    </row>
    <row r="16" spans="2:8" x14ac:dyDescent="0.25">
      <c r="B16" s="3">
        <v>145</v>
      </c>
      <c r="C16" s="3" t="s">
        <v>767</v>
      </c>
      <c r="D16" s="3" t="s">
        <v>758</v>
      </c>
      <c r="E16" s="1074">
        <v>38156.380196759259</v>
      </c>
      <c r="F16" s="1074">
        <v>45656.214690821762</v>
      </c>
      <c r="G16" s="3" t="s">
        <v>759</v>
      </c>
      <c r="H16" s="1079" t="s">
        <v>929</v>
      </c>
    </row>
    <row r="17" spans="2:8" x14ac:dyDescent="0.25">
      <c r="B17" s="3">
        <v>150</v>
      </c>
      <c r="C17" s="3" t="s">
        <v>768</v>
      </c>
      <c r="D17" s="3" t="s">
        <v>758</v>
      </c>
      <c r="E17" s="1074">
        <v>38091.418877314813</v>
      </c>
      <c r="F17" s="1074">
        <v>45656.214826504627</v>
      </c>
      <c r="G17" s="3" t="s">
        <v>759</v>
      </c>
      <c r="H17" s="1079" t="s">
        <v>929</v>
      </c>
    </row>
    <row r="18" spans="2:8" x14ac:dyDescent="0.25">
      <c r="B18" s="1072" t="s">
        <v>769</v>
      </c>
      <c r="C18" s="1072" t="s">
        <v>770</v>
      </c>
      <c r="D18" s="1072" t="s">
        <v>758</v>
      </c>
      <c r="E18" s="1073">
        <v>38415.539594907408</v>
      </c>
      <c r="F18" s="1073">
        <v>38415.539594907408</v>
      </c>
      <c r="G18" s="1072" t="s">
        <v>771</v>
      </c>
      <c r="H18" s="1079" t="s">
        <v>1321</v>
      </c>
    </row>
    <row r="19" spans="2:8" x14ac:dyDescent="0.25">
      <c r="B19" s="1072" t="s">
        <v>772</v>
      </c>
      <c r="C19" s="1072" t="s">
        <v>773</v>
      </c>
      <c r="D19" s="1072" t="s">
        <v>758</v>
      </c>
      <c r="E19" s="1073">
        <v>38415.586782407408</v>
      </c>
      <c r="F19" s="1073">
        <v>38415.586782407408</v>
      </c>
      <c r="G19" s="1072" t="s">
        <v>771</v>
      </c>
      <c r="H19" s="1079" t="s">
        <v>1321</v>
      </c>
    </row>
    <row r="20" spans="2:8" x14ac:dyDescent="0.25">
      <c r="B20" s="3">
        <v>160</v>
      </c>
      <c r="C20" s="3" t="s">
        <v>666</v>
      </c>
      <c r="D20" s="3" t="s">
        <v>758</v>
      </c>
      <c r="E20" s="1074">
        <v>38091.418877314813</v>
      </c>
      <c r="F20" s="1074">
        <v>45656.215003321762</v>
      </c>
      <c r="G20" s="3" t="s">
        <v>759</v>
      </c>
      <c r="H20" s="1079" t="s">
        <v>929</v>
      </c>
    </row>
    <row r="21" spans="2:8" x14ac:dyDescent="0.25">
      <c r="B21" s="1072" t="s">
        <v>774</v>
      </c>
      <c r="C21" s="1072" t="s">
        <v>775</v>
      </c>
      <c r="D21" s="1072" t="s">
        <v>758</v>
      </c>
      <c r="E21" s="1073">
        <v>38415.582303240742</v>
      </c>
      <c r="F21" s="1073">
        <v>38415.582303240742</v>
      </c>
      <c r="G21" s="1072" t="s">
        <v>771</v>
      </c>
      <c r="H21" s="1079" t="s">
        <v>1321</v>
      </c>
    </row>
    <row r="22" spans="2:8" x14ac:dyDescent="0.25">
      <c r="B22" s="3">
        <v>170</v>
      </c>
      <c r="C22" s="3" t="s">
        <v>776</v>
      </c>
      <c r="D22" s="3" t="s">
        <v>758</v>
      </c>
      <c r="E22" s="1074">
        <v>38091.418877314813</v>
      </c>
      <c r="F22" s="1074">
        <v>45656.215159375002</v>
      </c>
      <c r="G22" s="3" t="s">
        <v>759</v>
      </c>
      <c r="H22" s="1079" t="s">
        <v>929</v>
      </c>
    </row>
    <row r="23" spans="2:8" x14ac:dyDescent="0.25">
      <c r="B23" s="3">
        <v>175</v>
      </c>
      <c r="C23" s="3" t="s">
        <v>777</v>
      </c>
      <c r="D23" s="3" t="s">
        <v>758</v>
      </c>
      <c r="E23" s="1074">
        <v>38156.954212962963</v>
      </c>
      <c r="F23" s="1074">
        <v>45656.215323495373</v>
      </c>
      <c r="G23" s="3" t="s">
        <v>759</v>
      </c>
      <c r="H23" s="1079" t="s">
        <v>929</v>
      </c>
    </row>
    <row r="24" spans="2:8" x14ac:dyDescent="0.25">
      <c r="B24" s="3">
        <v>180</v>
      </c>
      <c r="C24" s="3" t="s">
        <v>184</v>
      </c>
      <c r="D24" s="3" t="s">
        <v>758</v>
      </c>
      <c r="E24" s="1074">
        <v>38091.418877314813</v>
      </c>
      <c r="F24" s="1074">
        <v>45656.215475497687</v>
      </c>
      <c r="G24" s="3" t="s">
        <v>759</v>
      </c>
      <c r="H24" s="1079" t="s">
        <v>929</v>
      </c>
    </row>
    <row r="25" spans="2:8" x14ac:dyDescent="0.25">
      <c r="B25" s="1072" t="s">
        <v>778</v>
      </c>
      <c r="C25" s="1072" t="s">
        <v>779</v>
      </c>
      <c r="D25" s="1072" t="s">
        <v>758</v>
      </c>
      <c r="E25" s="1073">
        <v>38415.561562499999</v>
      </c>
      <c r="F25" s="1073">
        <v>38415.561562499999</v>
      </c>
      <c r="G25" s="1072" t="s">
        <v>771</v>
      </c>
      <c r="H25" s="1079" t="s">
        <v>1321</v>
      </c>
    </row>
    <row r="26" spans="2:8" x14ac:dyDescent="0.25">
      <c r="B26" s="1072" t="s">
        <v>780</v>
      </c>
      <c r="C26" s="1072" t="s">
        <v>781</v>
      </c>
      <c r="D26" s="1072" t="s">
        <v>758</v>
      </c>
      <c r="E26" s="1073">
        <v>38415.567395833335</v>
      </c>
      <c r="F26" s="1073">
        <v>38415.567395833335</v>
      </c>
      <c r="G26" s="1072" t="s">
        <v>771</v>
      </c>
      <c r="H26" s="1079" t="s">
        <v>1321</v>
      </c>
    </row>
    <row r="27" spans="2:8" x14ac:dyDescent="0.25">
      <c r="B27" s="1072" t="s">
        <v>782</v>
      </c>
      <c r="C27" s="1072" t="s">
        <v>783</v>
      </c>
      <c r="D27" s="1072" t="s">
        <v>758</v>
      </c>
      <c r="E27" s="1073">
        <v>38415.568611111114</v>
      </c>
      <c r="F27" s="1073">
        <v>38415.568611111114</v>
      </c>
      <c r="G27" s="1072" t="s">
        <v>771</v>
      </c>
      <c r="H27" s="1079" t="s">
        <v>1321</v>
      </c>
    </row>
    <row r="28" spans="2:8" x14ac:dyDescent="0.25">
      <c r="B28" s="1072" t="s">
        <v>784</v>
      </c>
      <c r="C28" s="1072" t="s">
        <v>785</v>
      </c>
      <c r="D28" s="1072" t="s">
        <v>758</v>
      </c>
      <c r="E28" s="1073">
        <v>38415.559942129628</v>
      </c>
      <c r="F28" s="1073">
        <v>38665.383506944447</v>
      </c>
      <c r="G28" s="1072" t="s">
        <v>771</v>
      </c>
      <c r="H28" s="1079" t="s">
        <v>1321</v>
      </c>
    </row>
    <row r="29" spans="2:8" x14ac:dyDescent="0.25">
      <c r="B29" s="1072" t="s">
        <v>786</v>
      </c>
      <c r="C29" s="1072" t="s">
        <v>787</v>
      </c>
      <c r="D29" s="1072" t="s">
        <v>758</v>
      </c>
      <c r="E29" s="1073">
        <v>38415.562939814816</v>
      </c>
      <c r="F29" s="1073">
        <v>38415.562939814816</v>
      </c>
      <c r="G29" s="1072" t="s">
        <v>771</v>
      </c>
      <c r="H29" s="1079" t="s">
        <v>1321</v>
      </c>
    </row>
    <row r="30" spans="2:8" x14ac:dyDescent="0.25">
      <c r="B30" s="1072" t="s">
        <v>788</v>
      </c>
      <c r="C30" s="1072" t="s">
        <v>789</v>
      </c>
      <c r="D30" s="1072" t="s">
        <v>758</v>
      </c>
      <c r="E30" s="1073">
        <v>38415.564803240741</v>
      </c>
      <c r="F30" s="1073">
        <v>38415.564803240741</v>
      </c>
      <c r="G30" s="1072" t="s">
        <v>771</v>
      </c>
      <c r="H30" s="1079" t="s">
        <v>1321</v>
      </c>
    </row>
    <row r="31" spans="2:8" x14ac:dyDescent="0.25">
      <c r="B31" s="1072" t="s">
        <v>790</v>
      </c>
      <c r="C31" s="1072" t="s">
        <v>791</v>
      </c>
      <c r="D31" s="1072" t="s">
        <v>758</v>
      </c>
      <c r="E31" s="1073">
        <v>38415.577280092592</v>
      </c>
      <c r="F31" s="1073">
        <v>38415.577280092592</v>
      </c>
      <c r="G31" s="1072" t="s">
        <v>771</v>
      </c>
      <c r="H31" s="1079" t="s">
        <v>1321</v>
      </c>
    </row>
    <row r="32" spans="2:8" x14ac:dyDescent="0.25">
      <c r="B32" s="1072" t="s">
        <v>792</v>
      </c>
      <c r="C32" s="1072" t="s">
        <v>793</v>
      </c>
      <c r="D32" s="1072" t="s">
        <v>758</v>
      </c>
      <c r="E32" s="1073">
        <v>38415.550787037035</v>
      </c>
      <c r="F32" s="1073">
        <v>38415.550787037035</v>
      </c>
      <c r="G32" s="1072" t="s">
        <v>771</v>
      </c>
      <c r="H32" s="1079" t="s">
        <v>1321</v>
      </c>
    </row>
    <row r="33" spans="2:9" x14ac:dyDescent="0.25">
      <c r="B33" s="1072" t="s">
        <v>794</v>
      </c>
      <c r="C33" s="1072" t="s">
        <v>795</v>
      </c>
      <c r="D33" s="1072" t="s">
        <v>758</v>
      </c>
      <c r="E33" s="1073">
        <v>38415.545590277776</v>
      </c>
      <c r="F33" s="1073">
        <v>38415.545590277776</v>
      </c>
      <c r="G33" s="1072" t="s">
        <v>771</v>
      </c>
      <c r="H33" s="1079" t="s">
        <v>1321</v>
      </c>
    </row>
    <row r="34" spans="2:9" x14ac:dyDescent="0.25">
      <c r="B34" s="1072" t="s">
        <v>796</v>
      </c>
      <c r="C34" s="1072" t="s">
        <v>797</v>
      </c>
      <c r="D34" s="1072" t="s">
        <v>758</v>
      </c>
      <c r="E34" s="1073">
        <v>38415.569930555554</v>
      </c>
      <c r="F34" s="1073">
        <v>38415.569930555554</v>
      </c>
      <c r="G34" s="1072" t="s">
        <v>771</v>
      </c>
      <c r="H34" s="1079" t="s">
        <v>1321</v>
      </c>
    </row>
    <row r="35" spans="2:9" x14ac:dyDescent="0.25">
      <c r="B35" s="1072" t="s">
        <v>798</v>
      </c>
      <c r="C35" s="1072" t="s">
        <v>799</v>
      </c>
      <c r="D35" s="1072" t="s">
        <v>758</v>
      </c>
      <c r="E35" s="1073">
        <v>38415.571203703701</v>
      </c>
      <c r="F35" s="1073">
        <v>38415.571203703701</v>
      </c>
      <c r="G35" s="1072" t="s">
        <v>771</v>
      </c>
      <c r="H35" s="1079" t="s">
        <v>1321</v>
      </c>
    </row>
    <row r="36" spans="2:9" x14ac:dyDescent="0.25">
      <c r="B36" s="1072" t="s">
        <v>800</v>
      </c>
      <c r="C36" s="1072" t="s">
        <v>801</v>
      </c>
      <c r="D36" s="1072" t="s">
        <v>758</v>
      </c>
      <c r="E36" s="1073">
        <v>38415.548900462964</v>
      </c>
      <c r="F36" s="1073">
        <v>38415.548900462964</v>
      </c>
      <c r="G36" s="1072" t="s">
        <v>771</v>
      </c>
      <c r="H36" s="1079" t="s">
        <v>1321</v>
      </c>
    </row>
    <row r="37" spans="2:9" x14ac:dyDescent="0.25">
      <c r="B37" s="1072" t="s">
        <v>802</v>
      </c>
      <c r="C37" s="1072" t="s">
        <v>803</v>
      </c>
      <c r="D37" s="1072" t="s">
        <v>758</v>
      </c>
      <c r="E37" s="1073">
        <v>38415.552488425928</v>
      </c>
      <c r="F37" s="1073">
        <v>38665.38622685185</v>
      </c>
      <c r="G37" s="1072" t="s">
        <v>771</v>
      </c>
      <c r="H37" s="1079" t="s">
        <v>1321</v>
      </c>
    </row>
    <row r="38" spans="2:9" x14ac:dyDescent="0.25">
      <c r="B38" s="3">
        <v>190</v>
      </c>
      <c r="C38" s="3" t="s">
        <v>804</v>
      </c>
      <c r="D38" s="3" t="s">
        <v>758</v>
      </c>
      <c r="E38" s="1074">
        <v>38091.418877314813</v>
      </c>
      <c r="F38" s="1074">
        <v>45656.215678587963</v>
      </c>
      <c r="G38" s="3" t="s">
        <v>759</v>
      </c>
      <c r="H38" s="1079" t="s">
        <v>929</v>
      </c>
    </row>
    <row r="39" spans="2:9" x14ac:dyDescent="0.25">
      <c r="B39" s="3">
        <v>200</v>
      </c>
      <c r="C39" s="3" t="s">
        <v>805</v>
      </c>
      <c r="D39" s="3" t="s">
        <v>758</v>
      </c>
      <c r="E39" s="1074">
        <v>38091.418877314813</v>
      </c>
      <c r="F39" s="1074">
        <v>45656.215969872683</v>
      </c>
      <c r="G39" s="3" t="s">
        <v>759</v>
      </c>
      <c r="H39" s="1079" t="s">
        <v>929</v>
      </c>
    </row>
    <row r="40" spans="2:9" x14ac:dyDescent="0.25">
      <c r="B40" s="3">
        <v>210</v>
      </c>
      <c r="C40" s="3" t="s">
        <v>806</v>
      </c>
      <c r="D40" s="3" t="s">
        <v>758</v>
      </c>
      <c r="E40" s="1074">
        <v>38091.418877314813</v>
      </c>
      <c r="F40" s="1074">
        <v>38091.418877314813</v>
      </c>
      <c r="G40" s="3" t="s">
        <v>807</v>
      </c>
      <c r="H40" s="1079" t="s">
        <v>929</v>
      </c>
    </row>
    <row r="41" spans="2:9" s="31" customFormat="1" x14ac:dyDescent="0.25">
      <c r="B41" s="179">
        <v>215</v>
      </c>
      <c r="C41" s="179" t="s">
        <v>808</v>
      </c>
      <c r="D41" s="179" t="s">
        <v>758</v>
      </c>
      <c r="E41" s="1341">
        <v>41507.588525578707</v>
      </c>
      <c r="F41" s="1341">
        <v>45639.81592241898</v>
      </c>
      <c r="G41" s="179" t="s">
        <v>759</v>
      </c>
      <c r="H41" s="1079" t="s">
        <v>929</v>
      </c>
      <c r="I41" s="47"/>
    </row>
    <row r="42" spans="2:9" s="31" customFormat="1" x14ac:dyDescent="0.25">
      <c r="B42" s="179">
        <v>216</v>
      </c>
      <c r="C42" s="179" t="s">
        <v>809</v>
      </c>
      <c r="D42" s="179" t="s">
        <v>758</v>
      </c>
      <c r="E42" s="1341">
        <v>41507.588719293984</v>
      </c>
      <c r="F42" s="1341">
        <v>45639.816214849539</v>
      </c>
      <c r="G42" s="179" t="s">
        <v>759</v>
      </c>
      <c r="H42" s="1079" t="s">
        <v>929</v>
      </c>
      <c r="I42" s="47"/>
    </row>
    <row r="43" spans="2:9" x14ac:dyDescent="0.25">
      <c r="B43" s="3">
        <v>220</v>
      </c>
      <c r="C43" s="3" t="s">
        <v>810</v>
      </c>
      <c r="D43" s="3" t="s">
        <v>758</v>
      </c>
      <c r="E43" s="1074">
        <v>38091.418877314813</v>
      </c>
      <c r="F43" s="1074">
        <v>45639.816515243052</v>
      </c>
      <c r="G43" s="3" t="s">
        <v>759</v>
      </c>
      <c r="H43" s="1079" t="s">
        <v>929</v>
      </c>
    </row>
    <row r="44" spans="2:9" x14ac:dyDescent="0.25">
      <c r="B44" s="3">
        <v>225</v>
      </c>
      <c r="C44" s="3" t="s">
        <v>811</v>
      </c>
      <c r="D44" s="3" t="s">
        <v>758</v>
      </c>
      <c r="E44" s="1074">
        <v>38167.323773148149</v>
      </c>
      <c r="F44" s="1074">
        <v>45639.816798842592</v>
      </c>
      <c r="G44" s="3" t="s">
        <v>759</v>
      </c>
      <c r="H44" s="1079" t="s">
        <v>929</v>
      </c>
    </row>
    <row r="45" spans="2:9" x14ac:dyDescent="0.25">
      <c r="B45" s="3">
        <v>230</v>
      </c>
      <c r="C45" s="3" t="s">
        <v>812</v>
      </c>
      <c r="D45" s="3" t="s">
        <v>758</v>
      </c>
      <c r="E45" s="1074">
        <v>38091.418877314813</v>
      </c>
      <c r="F45" s="1074">
        <v>45639.823602974539</v>
      </c>
      <c r="G45" s="3" t="s">
        <v>759</v>
      </c>
      <c r="H45" s="1079" t="s">
        <v>929</v>
      </c>
    </row>
    <row r="46" spans="2:9" x14ac:dyDescent="0.25">
      <c r="B46" s="3">
        <v>235</v>
      </c>
      <c r="C46" s="3" t="s">
        <v>813</v>
      </c>
      <c r="D46" s="3" t="s">
        <v>758</v>
      </c>
      <c r="E46" s="1074">
        <v>38167.32403935185</v>
      </c>
      <c r="F46" s="1074">
        <v>45639.823873460649</v>
      </c>
      <c r="G46" s="3" t="s">
        <v>759</v>
      </c>
      <c r="H46" s="1079" t="s">
        <v>929</v>
      </c>
    </row>
    <row r="47" spans="2:9" x14ac:dyDescent="0.25">
      <c r="B47" s="3">
        <v>236</v>
      </c>
      <c r="C47" s="3" t="s">
        <v>814</v>
      </c>
      <c r="D47" s="3" t="s">
        <v>758</v>
      </c>
      <c r="E47" s="1074">
        <v>38328.616030092591</v>
      </c>
      <c r="F47" s="1074">
        <v>45639.824148263891</v>
      </c>
      <c r="G47" s="3" t="s">
        <v>759</v>
      </c>
      <c r="H47" s="1079" t="s">
        <v>929</v>
      </c>
    </row>
    <row r="48" spans="2:9" x14ac:dyDescent="0.25">
      <c r="B48" s="3">
        <v>237</v>
      </c>
      <c r="C48" s="3" t="s">
        <v>815</v>
      </c>
      <c r="D48" s="3" t="s">
        <v>758</v>
      </c>
      <c r="E48" s="1074">
        <v>38328.616400462961</v>
      </c>
      <c r="F48" s="1074">
        <v>45639.824366550929</v>
      </c>
      <c r="G48" s="3" t="s">
        <v>759</v>
      </c>
      <c r="H48" s="1079" t="s">
        <v>929</v>
      </c>
    </row>
    <row r="49" spans="2:8" x14ac:dyDescent="0.25">
      <c r="B49" s="3">
        <v>240</v>
      </c>
      <c r="C49" s="3" t="s">
        <v>816</v>
      </c>
      <c r="D49" s="3" t="s">
        <v>758</v>
      </c>
      <c r="E49" s="1074">
        <v>38091.418877314813</v>
      </c>
      <c r="F49" s="1074">
        <v>45639.824522141207</v>
      </c>
      <c r="G49" s="3" t="s">
        <v>759</v>
      </c>
      <c r="H49" s="1079" t="s">
        <v>929</v>
      </c>
    </row>
    <row r="50" spans="2:8" x14ac:dyDescent="0.25">
      <c r="B50" s="3">
        <v>245</v>
      </c>
      <c r="C50" s="3" t="s">
        <v>817</v>
      </c>
      <c r="D50" s="3" t="s">
        <v>758</v>
      </c>
      <c r="E50" s="1074">
        <v>38167.324525462966</v>
      </c>
      <c r="F50" s="1074">
        <v>45639.824757488423</v>
      </c>
      <c r="G50" s="3" t="s">
        <v>759</v>
      </c>
      <c r="H50" s="1079" t="s">
        <v>929</v>
      </c>
    </row>
    <row r="51" spans="2:8" x14ac:dyDescent="0.25">
      <c r="B51" s="3">
        <v>250</v>
      </c>
      <c r="C51" s="3" t="s">
        <v>818</v>
      </c>
      <c r="D51" s="3" t="s">
        <v>758</v>
      </c>
      <c r="E51" s="1074">
        <v>38091.418877314813</v>
      </c>
      <c r="F51" s="1074">
        <v>45639.824941701387</v>
      </c>
      <c r="G51" s="3" t="s">
        <v>759</v>
      </c>
      <c r="H51" s="1079" t="s">
        <v>929</v>
      </c>
    </row>
    <row r="52" spans="2:8" x14ac:dyDescent="0.25">
      <c r="B52" s="3">
        <v>255</v>
      </c>
      <c r="C52" s="3" t="s">
        <v>819</v>
      </c>
      <c r="D52" s="3" t="s">
        <v>758</v>
      </c>
      <c r="E52" s="1074">
        <v>38167.324756944443</v>
      </c>
      <c r="F52" s="1074">
        <v>45639.825148379627</v>
      </c>
      <c r="G52" s="3" t="s">
        <v>759</v>
      </c>
      <c r="H52" s="1079" t="s">
        <v>929</v>
      </c>
    </row>
    <row r="53" spans="2:8" x14ac:dyDescent="0.25">
      <c r="B53" s="3">
        <v>256</v>
      </c>
      <c r="C53" s="3" t="s">
        <v>820</v>
      </c>
      <c r="D53" s="3" t="s">
        <v>758</v>
      </c>
      <c r="E53" s="1074">
        <v>38328.616689814815</v>
      </c>
      <c r="F53" s="1074">
        <v>45639.825351770836</v>
      </c>
      <c r="G53" s="3" t="s">
        <v>759</v>
      </c>
      <c r="H53" s="1079" t="s">
        <v>929</v>
      </c>
    </row>
    <row r="54" spans="2:8" x14ac:dyDescent="0.25">
      <c r="B54" s="3">
        <v>257</v>
      </c>
      <c r="C54" s="3" t="s">
        <v>821</v>
      </c>
      <c r="D54" s="3" t="s">
        <v>758</v>
      </c>
      <c r="E54" s="1074">
        <v>38328.616956018515</v>
      </c>
      <c r="F54" s="1074">
        <v>45639.825535034724</v>
      </c>
      <c r="G54" s="3" t="s">
        <v>759</v>
      </c>
      <c r="H54" s="1079" t="s">
        <v>929</v>
      </c>
    </row>
    <row r="55" spans="2:8" x14ac:dyDescent="0.25">
      <c r="B55" s="3">
        <v>260</v>
      </c>
      <c r="C55" s="3" t="s">
        <v>822</v>
      </c>
      <c r="D55" s="3" t="s">
        <v>758</v>
      </c>
      <c r="E55" s="1074">
        <v>38091.418877314813</v>
      </c>
      <c r="F55" s="1074">
        <v>45656.216272650461</v>
      </c>
      <c r="G55" s="3" t="s">
        <v>759</v>
      </c>
      <c r="H55" s="1079" t="s">
        <v>929</v>
      </c>
    </row>
    <row r="56" spans="2:8" x14ac:dyDescent="0.25">
      <c r="B56" s="3">
        <v>270</v>
      </c>
      <c r="C56" s="3" t="s">
        <v>222</v>
      </c>
      <c r="D56" s="3" t="s">
        <v>758</v>
      </c>
      <c r="E56" s="1074">
        <v>38091.418877314813</v>
      </c>
      <c r="F56" s="1074">
        <v>45656.216405358799</v>
      </c>
      <c r="G56" s="3" t="s">
        <v>759</v>
      </c>
      <c r="H56" s="1079" t="s">
        <v>929</v>
      </c>
    </row>
    <row r="57" spans="2:8" x14ac:dyDescent="0.25">
      <c r="B57" s="3">
        <v>280</v>
      </c>
      <c r="C57" s="3" t="s">
        <v>408</v>
      </c>
      <c r="D57" s="3" t="s">
        <v>758</v>
      </c>
      <c r="E57" s="1074">
        <v>38091.418877314813</v>
      </c>
      <c r="F57" s="1074">
        <v>45737.973043287035</v>
      </c>
      <c r="G57" s="3" t="s">
        <v>1319</v>
      </c>
      <c r="H57" s="1079" t="s">
        <v>929</v>
      </c>
    </row>
    <row r="58" spans="2:8" x14ac:dyDescent="0.25">
      <c r="B58" s="3">
        <v>290</v>
      </c>
      <c r="C58" s="3" t="s">
        <v>823</v>
      </c>
      <c r="D58" s="3" t="s">
        <v>758</v>
      </c>
      <c r="E58" s="1074">
        <v>38091.418877314813</v>
      </c>
      <c r="F58" s="1074">
        <v>38091.418877314813</v>
      </c>
      <c r="G58" s="3" t="s">
        <v>807</v>
      </c>
      <c r="H58" s="1079" t="s">
        <v>929</v>
      </c>
    </row>
    <row r="59" spans="2:8" x14ac:dyDescent="0.25">
      <c r="B59" s="3">
        <v>300</v>
      </c>
      <c r="C59" s="3" t="s">
        <v>824</v>
      </c>
      <c r="D59" s="3" t="s">
        <v>758</v>
      </c>
      <c r="E59" s="1074">
        <v>38091.418877314813</v>
      </c>
      <c r="F59" s="1074">
        <v>38091.418877314813</v>
      </c>
      <c r="G59" s="3" t="s">
        <v>807</v>
      </c>
      <c r="H59" s="1079" t="s">
        <v>929</v>
      </c>
    </row>
    <row r="60" spans="2:8" x14ac:dyDescent="0.25">
      <c r="B60" s="3">
        <v>310</v>
      </c>
      <c r="C60" s="3" t="s">
        <v>214</v>
      </c>
      <c r="D60" s="3" t="s">
        <v>758</v>
      </c>
      <c r="E60" s="1074">
        <v>38091.418877314813</v>
      </c>
      <c r="F60" s="1074">
        <v>38091.418877314813</v>
      </c>
      <c r="G60" s="3" t="s">
        <v>807</v>
      </c>
      <c r="H60" s="1079" t="s">
        <v>929</v>
      </c>
    </row>
    <row r="61" spans="2:8" x14ac:dyDescent="0.25">
      <c r="B61" s="3">
        <v>320</v>
      </c>
      <c r="C61" s="3" t="s">
        <v>0</v>
      </c>
      <c r="D61" s="3" t="s">
        <v>758</v>
      </c>
      <c r="E61" s="1074">
        <v>38091.418877314813</v>
      </c>
      <c r="F61" s="1074">
        <v>45682.087480173614</v>
      </c>
      <c r="G61" s="3" t="s">
        <v>759</v>
      </c>
      <c r="H61" s="1079" t="s">
        <v>929</v>
      </c>
    </row>
    <row r="62" spans="2:8" x14ac:dyDescent="0.25">
      <c r="B62" s="3">
        <v>330</v>
      </c>
      <c r="C62" s="3" t="s">
        <v>825</v>
      </c>
      <c r="D62" s="3" t="s">
        <v>758</v>
      </c>
      <c r="E62" s="1074">
        <v>38160.431296296294</v>
      </c>
      <c r="F62" s="1074">
        <v>45656.216621261578</v>
      </c>
      <c r="G62" s="3" t="s">
        <v>759</v>
      </c>
      <c r="H62" s="1079" t="s">
        <v>929</v>
      </c>
    </row>
    <row r="63" spans="2:8" x14ac:dyDescent="0.25">
      <c r="B63" s="3">
        <v>350</v>
      </c>
      <c r="C63" s="3" t="s">
        <v>826</v>
      </c>
      <c r="D63" s="3" t="s">
        <v>758</v>
      </c>
      <c r="E63" s="1074">
        <v>38313.501655092594</v>
      </c>
      <c r="F63" s="1074">
        <v>38313.501655092594</v>
      </c>
      <c r="G63" s="3" t="s">
        <v>771</v>
      </c>
      <c r="H63" s="1079" t="s">
        <v>929</v>
      </c>
    </row>
    <row r="64" spans="2:8" x14ac:dyDescent="0.25">
      <c r="B64" s="3">
        <v>360</v>
      </c>
      <c r="C64" s="3" t="s">
        <v>218</v>
      </c>
      <c r="D64" s="3" t="s">
        <v>758</v>
      </c>
      <c r="E64" s="1074">
        <v>38313.501782407409</v>
      </c>
      <c r="F64" s="1074">
        <v>38313.501782407409</v>
      </c>
      <c r="G64" s="3" t="s">
        <v>771</v>
      </c>
      <c r="H64" s="1079" t="s">
        <v>929</v>
      </c>
    </row>
    <row r="65" spans="2:8" x14ac:dyDescent="0.25">
      <c r="B65" s="1072">
        <v>370</v>
      </c>
      <c r="C65" s="1072" t="s">
        <v>827</v>
      </c>
      <c r="D65" s="1072" t="s">
        <v>758</v>
      </c>
      <c r="E65" s="1073">
        <v>38313.501851851855</v>
      </c>
      <c r="F65" s="1073">
        <v>38313.501851851855</v>
      </c>
      <c r="G65" s="1072" t="s">
        <v>771</v>
      </c>
      <c r="H65" s="1079" t="s">
        <v>1321</v>
      </c>
    </row>
    <row r="66" spans="2:8" x14ac:dyDescent="0.25">
      <c r="B66" s="1072">
        <v>380</v>
      </c>
      <c r="C66" s="1072" t="s">
        <v>770</v>
      </c>
      <c r="D66" s="1072" t="s">
        <v>758</v>
      </c>
      <c r="E66" s="1073">
        <v>38313.502002314817</v>
      </c>
      <c r="F66" s="1073">
        <v>38313.502002314817</v>
      </c>
      <c r="G66" s="1072" t="s">
        <v>771</v>
      </c>
      <c r="H66" s="1079" t="s">
        <v>1321</v>
      </c>
    </row>
    <row r="67" spans="2:8" x14ac:dyDescent="0.25">
      <c r="B67" s="3">
        <v>400</v>
      </c>
      <c r="C67" s="3" t="s">
        <v>828</v>
      </c>
      <c r="D67" s="3" t="s">
        <v>758</v>
      </c>
      <c r="E67" s="1074">
        <v>38664.384050925924</v>
      </c>
      <c r="F67" s="1074">
        <v>45656.217012928239</v>
      </c>
      <c r="G67" s="3" t="s">
        <v>759</v>
      </c>
      <c r="H67" s="1079" t="s">
        <v>929</v>
      </c>
    </row>
    <row r="68" spans="2:8" x14ac:dyDescent="0.25">
      <c r="B68" s="1342">
        <v>420</v>
      </c>
      <c r="C68" s="1342" t="s">
        <v>829</v>
      </c>
      <c r="D68" s="1342" t="s">
        <v>758</v>
      </c>
      <c r="E68" s="1343">
        <v>45174.853139895837</v>
      </c>
      <c r="F68" s="1343">
        <v>45174.853139895837</v>
      </c>
      <c r="G68" s="1342" t="s">
        <v>762</v>
      </c>
      <c r="H68" s="1079" t="s">
        <v>1321</v>
      </c>
    </row>
    <row r="69" spans="2:8" x14ac:dyDescent="0.25">
      <c r="B69" s="1342">
        <v>425</v>
      </c>
      <c r="C69" s="1342" t="s">
        <v>830</v>
      </c>
      <c r="D69" s="1342" t="s">
        <v>758</v>
      </c>
      <c r="E69" s="1343">
        <v>45174.853140162035</v>
      </c>
      <c r="F69" s="1343">
        <v>45174.853140162035</v>
      </c>
      <c r="G69" s="1342" t="s">
        <v>762</v>
      </c>
      <c r="H69" s="1079" t="s">
        <v>1321</v>
      </c>
    </row>
    <row r="70" spans="2:8" x14ac:dyDescent="0.25">
      <c r="B70" s="1342">
        <v>440</v>
      </c>
      <c r="C70" s="1342" t="s">
        <v>831</v>
      </c>
      <c r="D70" s="1342" t="s">
        <v>758</v>
      </c>
      <c r="E70" s="1343">
        <v>45174.853140393519</v>
      </c>
      <c r="F70" s="1343">
        <v>45174.853140393519</v>
      </c>
      <c r="G70" s="1342" t="s">
        <v>762</v>
      </c>
      <c r="H70" s="1079" t="s">
        <v>1321</v>
      </c>
    </row>
    <row r="71" spans="2:8" x14ac:dyDescent="0.25">
      <c r="B71" s="1342">
        <v>445</v>
      </c>
      <c r="C71" s="1342" t="s">
        <v>832</v>
      </c>
      <c r="D71" s="1342" t="s">
        <v>758</v>
      </c>
      <c r="E71" s="1343">
        <v>45174.853140659725</v>
      </c>
      <c r="F71" s="1343">
        <v>45174.853140659725</v>
      </c>
      <c r="G71" s="1342" t="s">
        <v>762</v>
      </c>
      <c r="H71" s="1079" t="s">
        <v>1321</v>
      </c>
    </row>
    <row r="72" spans="2:8" x14ac:dyDescent="0.25">
      <c r="B72" s="1342">
        <v>460</v>
      </c>
      <c r="C72" s="1342" t="s">
        <v>833</v>
      </c>
      <c r="D72" s="1342" t="s">
        <v>758</v>
      </c>
      <c r="E72" s="1343">
        <v>45174.853140856481</v>
      </c>
      <c r="F72" s="1343">
        <v>45174.853140856481</v>
      </c>
      <c r="G72" s="1342" t="s">
        <v>762</v>
      </c>
      <c r="H72" s="1079" t="s">
        <v>1321</v>
      </c>
    </row>
    <row r="73" spans="2:8" x14ac:dyDescent="0.25">
      <c r="B73" s="1342">
        <v>465</v>
      </c>
      <c r="C73" s="1342" t="s">
        <v>834</v>
      </c>
      <c r="D73" s="1342" t="s">
        <v>758</v>
      </c>
      <c r="E73" s="1343">
        <v>45174.853141053238</v>
      </c>
      <c r="F73" s="1343">
        <v>45174.853141053238</v>
      </c>
      <c r="G73" s="1342" t="s">
        <v>762</v>
      </c>
      <c r="H73" s="1079" t="s">
        <v>1321</v>
      </c>
    </row>
    <row r="74" spans="2:8" x14ac:dyDescent="0.25">
      <c r="B74" s="1342">
        <v>480</v>
      </c>
      <c r="C74" s="1342" t="s">
        <v>835</v>
      </c>
      <c r="D74" s="1342" t="s">
        <v>758</v>
      </c>
      <c r="E74" s="1343">
        <v>45174.853141284722</v>
      </c>
      <c r="F74" s="1343">
        <v>45174.853141284722</v>
      </c>
      <c r="G74" s="1342" t="s">
        <v>762</v>
      </c>
      <c r="H74" s="1079" t="s">
        <v>1321</v>
      </c>
    </row>
    <row r="75" spans="2:8" x14ac:dyDescent="0.25">
      <c r="B75" s="1342">
        <v>485</v>
      </c>
      <c r="C75" s="1342" t="s">
        <v>836</v>
      </c>
      <c r="D75" s="1342" t="s">
        <v>758</v>
      </c>
      <c r="E75" s="1343">
        <v>45174.853141516207</v>
      </c>
      <c r="F75" s="1343">
        <v>45174.853141516207</v>
      </c>
      <c r="G75" s="1342" t="s">
        <v>762</v>
      </c>
      <c r="H75" s="1079" t="s">
        <v>1321</v>
      </c>
    </row>
    <row r="76" spans="2:8" x14ac:dyDescent="0.25">
      <c r="B76" s="1342">
        <v>520</v>
      </c>
      <c r="C76" s="1342" t="s">
        <v>837</v>
      </c>
      <c r="D76" s="1342" t="s">
        <v>758</v>
      </c>
      <c r="E76" s="1343">
        <v>45174.853141747684</v>
      </c>
      <c r="F76" s="1343">
        <v>45174.853141747684</v>
      </c>
      <c r="G76" s="1342" t="s">
        <v>762</v>
      </c>
      <c r="H76" s="1079" t="s">
        <v>1321</v>
      </c>
    </row>
    <row r="77" spans="2:8" x14ac:dyDescent="0.25">
      <c r="B77" s="1342">
        <v>525</v>
      </c>
      <c r="C77" s="1342" t="s">
        <v>838</v>
      </c>
      <c r="D77" s="1342" t="s">
        <v>758</v>
      </c>
      <c r="E77" s="1343">
        <v>45174.853142048611</v>
      </c>
      <c r="F77" s="1343">
        <v>45174.853142048611</v>
      </c>
      <c r="G77" s="1342" t="s">
        <v>762</v>
      </c>
      <c r="H77" s="1079" t="s">
        <v>1321</v>
      </c>
    </row>
    <row r="78" spans="2:8" x14ac:dyDescent="0.25">
      <c r="B78" s="1342">
        <v>540</v>
      </c>
      <c r="C78" s="1342" t="s">
        <v>839</v>
      </c>
      <c r="D78" s="1342" t="s">
        <v>758</v>
      </c>
      <c r="E78" s="1343">
        <v>45174.853142245367</v>
      </c>
      <c r="F78" s="1343">
        <v>45174.853142245367</v>
      </c>
      <c r="G78" s="1342" t="s">
        <v>762</v>
      </c>
      <c r="H78" s="1079" t="s">
        <v>1321</v>
      </c>
    </row>
    <row r="79" spans="2:8" x14ac:dyDescent="0.25">
      <c r="B79" s="1342">
        <v>545</v>
      </c>
      <c r="C79" s="1342" t="s">
        <v>840</v>
      </c>
      <c r="D79" s="1342" t="s">
        <v>758</v>
      </c>
      <c r="E79" s="1343">
        <v>45174.853142476852</v>
      </c>
      <c r="F79" s="1343">
        <v>45174.853142476852</v>
      </c>
      <c r="G79" s="1342" t="s">
        <v>762</v>
      </c>
      <c r="H79" s="1079" t="s">
        <v>1321</v>
      </c>
    </row>
    <row r="80" spans="2:8" x14ac:dyDescent="0.25">
      <c r="B80" s="1342">
        <v>550</v>
      </c>
      <c r="C80" s="1342" t="s">
        <v>841</v>
      </c>
      <c r="D80" s="1342" t="s">
        <v>758</v>
      </c>
      <c r="E80" s="1343">
        <v>42402.309895833336</v>
      </c>
      <c r="F80" s="1343">
        <v>42402.310254629629</v>
      </c>
      <c r="G80" s="1342" t="s">
        <v>771</v>
      </c>
      <c r="H80" s="1079" t="s">
        <v>1321</v>
      </c>
    </row>
    <row r="81" spans="2:9" s="31" customFormat="1" x14ac:dyDescent="0.25">
      <c r="B81" s="1342">
        <v>615</v>
      </c>
      <c r="C81" s="1342" t="s">
        <v>842</v>
      </c>
      <c r="D81" s="1342" t="s">
        <v>758</v>
      </c>
      <c r="E81" s="1343">
        <v>45174.853142673608</v>
      </c>
      <c r="F81" s="1343">
        <v>45174.853142673608</v>
      </c>
      <c r="G81" s="1342" t="s">
        <v>762</v>
      </c>
      <c r="H81" s="1079" t="s">
        <v>1321</v>
      </c>
      <c r="I81" s="47"/>
    </row>
    <row r="82" spans="2:9" s="31" customFormat="1" x14ac:dyDescent="0.25">
      <c r="B82" s="1342">
        <v>616</v>
      </c>
      <c r="C82" s="1342" t="s">
        <v>843</v>
      </c>
      <c r="D82" s="1342" t="s">
        <v>758</v>
      </c>
      <c r="E82" s="1343">
        <v>45174.853142905093</v>
      </c>
      <c r="F82" s="1343">
        <v>45174.853142905093</v>
      </c>
      <c r="G82" s="1342" t="s">
        <v>762</v>
      </c>
      <c r="H82" s="1079" t="s">
        <v>1321</v>
      </c>
      <c r="I82" s="47"/>
    </row>
    <row r="83" spans="2:9" x14ac:dyDescent="0.25">
      <c r="B83" s="1072">
        <v>760</v>
      </c>
      <c r="C83" s="1072" t="s">
        <v>844</v>
      </c>
      <c r="D83" s="1072" t="s">
        <v>758</v>
      </c>
      <c r="E83" s="1073">
        <v>41381.609395520834</v>
      </c>
      <c r="F83" s="1073">
        <v>41381.609395520834</v>
      </c>
      <c r="G83" s="1072" t="s">
        <v>771</v>
      </c>
      <c r="H83" s="1079" t="s">
        <v>1321</v>
      </c>
    </row>
    <row r="84" spans="2:9" x14ac:dyDescent="0.25">
      <c r="B84" s="1072">
        <v>770</v>
      </c>
      <c r="C84" s="1072" t="s">
        <v>845</v>
      </c>
      <c r="D84" s="1072" t="s">
        <v>758</v>
      </c>
      <c r="E84" s="1073">
        <v>42354.485659722224</v>
      </c>
      <c r="F84" s="1073">
        <v>42858.600532407407</v>
      </c>
      <c r="G84" s="1072" t="s">
        <v>771</v>
      </c>
      <c r="H84" s="1079" t="s">
        <v>1321</v>
      </c>
    </row>
    <row r="85" spans="2:9" x14ac:dyDescent="0.25">
      <c r="B85" s="1072">
        <v>994</v>
      </c>
      <c r="C85" s="1072" t="s">
        <v>846</v>
      </c>
      <c r="D85" s="1072" t="s">
        <v>758</v>
      </c>
      <c r="E85" s="1073">
        <v>38741.426990740743</v>
      </c>
      <c r="F85" s="1073">
        <v>38762.409050925926</v>
      </c>
      <c r="G85" s="1072" t="s">
        <v>771</v>
      </c>
      <c r="H85" s="1079" t="s">
        <v>1321</v>
      </c>
    </row>
    <row r="86" spans="2:9" x14ac:dyDescent="0.25">
      <c r="B86" s="1342">
        <v>995</v>
      </c>
      <c r="C86" s="1342" t="s">
        <v>847</v>
      </c>
      <c r="D86" s="1342" t="s">
        <v>758</v>
      </c>
      <c r="E86" s="1343">
        <v>38722.393449074072</v>
      </c>
      <c r="F86" s="1343">
        <v>38722.393449074072</v>
      </c>
      <c r="G86" s="1342" t="s">
        <v>771</v>
      </c>
      <c r="H86" s="1079" t="s">
        <v>1321</v>
      </c>
    </row>
    <row r="87" spans="2:9" x14ac:dyDescent="0.25">
      <c r="B87" s="3">
        <v>996</v>
      </c>
      <c r="C87" s="3" t="s">
        <v>848</v>
      </c>
      <c r="D87" s="3" t="s">
        <v>758</v>
      </c>
      <c r="E87" s="1074">
        <v>38587.677916666667</v>
      </c>
      <c r="F87" s="1074">
        <v>38587.677916666667</v>
      </c>
      <c r="G87" s="3" t="s">
        <v>771</v>
      </c>
      <c r="H87" s="1079" t="s">
        <v>929</v>
      </c>
    </row>
    <row r="88" spans="2:9" x14ac:dyDescent="0.25">
      <c r="B88" s="3">
        <v>997</v>
      </c>
      <c r="C88" s="3" t="s">
        <v>849</v>
      </c>
      <c r="D88" s="3" t="s">
        <v>758</v>
      </c>
      <c r="E88" s="1074">
        <v>38587.677812499998</v>
      </c>
      <c r="F88" s="1074">
        <v>38587.677812499998</v>
      </c>
      <c r="G88" s="3" t="s">
        <v>771</v>
      </c>
      <c r="H88" s="1079" t="s">
        <v>929</v>
      </c>
    </row>
    <row r="89" spans="2:9" x14ac:dyDescent="0.25">
      <c r="B89" s="3">
        <v>998</v>
      </c>
      <c r="C89" s="3" t="s">
        <v>850</v>
      </c>
      <c r="D89" s="3" t="s">
        <v>758</v>
      </c>
      <c r="E89" s="1074">
        <v>38587.677685185183</v>
      </c>
      <c r="F89" s="1074">
        <v>38587.677685185183</v>
      </c>
      <c r="G89" s="3" t="s">
        <v>771</v>
      </c>
      <c r="H89" s="1079" t="s">
        <v>929</v>
      </c>
    </row>
    <row r="90" spans="2:9" x14ac:dyDescent="0.25">
      <c r="B90" s="3">
        <v>999</v>
      </c>
      <c r="C90" s="3" t="s">
        <v>851</v>
      </c>
      <c r="D90" s="3" t="s">
        <v>758</v>
      </c>
      <c r="E90" s="1074">
        <v>38091.418877314813</v>
      </c>
      <c r="F90" s="1074">
        <v>38091.418877314813</v>
      </c>
      <c r="G90" s="3" t="s">
        <v>807</v>
      </c>
      <c r="H90" s="1079" t="s">
        <v>929</v>
      </c>
    </row>
    <row r="91" spans="2:9" x14ac:dyDescent="0.25">
      <c r="B91" s="1075" t="s">
        <v>852</v>
      </c>
      <c r="C91" s="1075" t="s">
        <v>853</v>
      </c>
      <c r="D91" s="1075" t="s">
        <v>758</v>
      </c>
      <c r="E91" s="1076">
        <v>45442.941180555557</v>
      </c>
      <c r="F91" s="1076">
        <v>45442.941180555557</v>
      </c>
      <c r="G91" s="1075" t="s">
        <v>759</v>
      </c>
      <c r="H91" s="1079" t="s">
        <v>1321</v>
      </c>
    </row>
    <row r="92" spans="2:9" x14ac:dyDescent="0.25">
      <c r="B92" s="3" t="s">
        <v>854</v>
      </c>
      <c r="C92" s="3" t="s">
        <v>855</v>
      </c>
      <c r="D92" s="3" t="s">
        <v>758</v>
      </c>
      <c r="E92" s="1074">
        <v>45235.722918946762</v>
      </c>
      <c r="F92" s="1074">
        <v>45235.724591122686</v>
      </c>
      <c r="G92" s="3" t="s">
        <v>762</v>
      </c>
      <c r="H92" s="1079" t="s">
        <v>929</v>
      </c>
    </row>
    <row r="93" spans="2:9" x14ac:dyDescent="0.25">
      <c r="B93" s="3" t="s">
        <v>856</v>
      </c>
      <c r="C93" s="3" t="s">
        <v>857</v>
      </c>
      <c r="D93" s="3" t="s">
        <v>758</v>
      </c>
      <c r="E93" s="1074">
        <v>45667.451973460651</v>
      </c>
      <c r="F93" s="1074">
        <v>45667.451973460651</v>
      </c>
      <c r="G93" s="3" t="s">
        <v>858</v>
      </c>
      <c r="H93" s="1079" t="s">
        <v>929</v>
      </c>
    </row>
  </sheetData>
  <autoFilter ref="B6:H6" xr:uid="{80FBE309-0AA8-49F8-B805-A124C02AE43B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8FE43-F56B-4D30-B27E-A8E506CD2474}">
  <sheetPr codeName="Sheet1"/>
  <dimension ref="C4:F8"/>
  <sheetViews>
    <sheetView workbookViewId="0">
      <selection activeCell="L22" sqref="L22"/>
    </sheetView>
  </sheetViews>
  <sheetFormatPr defaultRowHeight="15" x14ac:dyDescent="0.25"/>
  <cols>
    <col min="5" max="6" width="8.85546875" style="11"/>
  </cols>
  <sheetData>
    <row r="4" spans="3:6" x14ac:dyDescent="0.25">
      <c r="E4" s="11" t="s">
        <v>570</v>
      </c>
      <c r="F4" s="11" t="s">
        <v>571</v>
      </c>
    </row>
    <row r="5" spans="3:6" x14ac:dyDescent="0.25">
      <c r="C5" t="s">
        <v>659</v>
      </c>
      <c r="E5" s="422">
        <v>2.0000000000000001E-4</v>
      </c>
      <c r="F5" s="422">
        <v>5.0000000000000001E-3</v>
      </c>
    </row>
    <row r="6" spans="3:6" x14ac:dyDescent="0.25">
      <c r="C6" t="s">
        <v>196</v>
      </c>
      <c r="E6" s="422">
        <v>1E-4</v>
      </c>
      <c r="F6" s="422">
        <v>2.5000000000000001E-3</v>
      </c>
    </row>
    <row r="7" spans="3:6" x14ac:dyDescent="0.25">
      <c r="C7" t="s">
        <v>197</v>
      </c>
      <c r="E7" s="422">
        <v>4.0000000000000003E-5</v>
      </c>
      <c r="F7" s="422">
        <v>1E-3</v>
      </c>
    </row>
    <row r="8" spans="3:6" x14ac:dyDescent="0.25">
      <c r="C8" t="s">
        <v>198</v>
      </c>
      <c r="E8" s="422">
        <v>2.0000000000000002E-5</v>
      </c>
      <c r="F8" s="422">
        <v>5.0000000000000001E-4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EBE95-C630-44F6-BBA3-823CB7BB4C52}">
  <sheetPr>
    <pageSetUpPr fitToPage="1"/>
  </sheetPr>
  <dimension ref="B1:J31"/>
  <sheetViews>
    <sheetView zoomScale="80" zoomScaleNormal="80" workbookViewId="0">
      <pane ySplit="6" topLeftCell="A7" activePane="bottomLeft" state="frozen"/>
      <selection pane="bottomLeft" activeCell="D34" sqref="D34"/>
    </sheetView>
  </sheetViews>
  <sheetFormatPr defaultColWidth="8.85546875" defaultRowHeight="15" x14ac:dyDescent="0.25"/>
  <cols>
    <col min="1" max="1" width="1.7109375" style="1169" customWidth="1"/>
    <col min="2" max="2" width="29.85546875" style="1169" customWidth="1"/>
    <col min="3" max="3" width="18" style="1169" customWidth="1"/>
    <col min="4" max="4" width="40" style="1169" customWidth="1"/>
    <col min="5" max="5" width="26.140625" style="1169" customWidth="1"/>
    <col min="6" max="6" width="12.7109375" style="1169" customWidth="1"/>
    <col min="7" max="14" width="12.28515625" style="1169" customWidth="1"/>
    <col min="15" max="16384" width="8.85546875" style="1169"/>
  </cols>
  <sheetData>
    <row r="1" spans="2:10" ht="7.9" customHeight="1" x14ac:dyDescent="0.25"/>
    <row r="2" spans="2:10" ht="21" x14ac:dyDescent="0.35">
      <c r="B2" s="1183" t="s">
        <v>1380</v>
      </c>
    </row>
    <row r="3" spans="2:10" ht="15.75" x14ac:dyDescent="0.25">
      <c r="B3" s="1184" t="s">
        <v>1379</v>
      </c>
    </row>
    <row r="5" spans="2:10" ht="15.75" thickBot="1" x14ac:dyDescent="0.3"/>
    <row r="6" spans="2:10" s="1180" customFormat="1" ht="16.149999999999999" customHeight="1" x14ac:dyDescent="0.25">
      <c r="B6" s="1176" t="s">
        <v>9</v>
      </c>
      <c r="C6" s="1177" t="s">
        <v>1378</v>
      </c>
      <c r="D6" s="1178" t="s">
        <v>1303</v>
      </c>
      <c r="E6" s="1178" t="s">
        <v>1377</v>
      </c>
      <c r="F6" s="1179" t="s">
        <v>568</v>
      </c>
    </row>
    <row r="7" spans="2:10" customFormat="1" ht="3.6" customHeight="1" x14ac:dyDescent="0.25">
      <c r="B7" s="1219"/>
      <c r="C7" s="1220"/>
      <c r="D7" s="814"/>
      <c r="E7" s="1221"/>
      <c r="F7" s="1222"/>
    </row>
    <row r="8" spans="2:10" s="1180" customFormat="1" ht="15" customHeight="1" x14ac:dyDescent="0.25">
      <c r="B8" s="1199" t="s">
        <v>1376</v>
      </c>
      <c r="C8" s="1200" t="s">
        <v>1375</v>
      </c>
      <c r="D8" s="1201" t="s">
        <v>1374</v>
      </c>
      <c r="E8" s="1202" t="s">
        <v>1373</v>
      </c>
      <c r="F8" s="1203">
        <v>0</v>
      </c>
    </row>
    <row r="9" spans="2:10" s="1180" customFormat="1" ht="3" customHeight="1" x14ac:dyDescent="0.25">
      <c r="B9" s="1185"/>
      <c r="C9" s="1181"/>
      <c r="E9" s="1186"/>
      <c r="F9" s="1175"/>
    </row>
    <row r="10" spans="2:10" s="1180" customFormat="1" x14ac:dyDescent="0.25">
      <c r="B10" s="1185" t="s">
        <v>1363</v>
      </c>
      <c r="C10" s="1181" t="s">
        <v>1362</v>
      </c>
      <c r="D10" s="1180" t="s">
        <v>1361</v>
      </c>
      <c r="E10" s="1186" t="s">
        <v>1360</v>
      </c>
      <c r="F10" s="1175">
        <v>15</v>
      </c>
    </row>
    <row r="11" spans="2:10" s="1180" customFormat="1" x14ac:dyDescent="0.25">
      <c r="B11" s="1185" t="s">
        <v>1359</v>
      </c>
      <c r="C11" s="1181" t="s">
        <v>1358</v>
      </c>
      <c r="D11" s="1180" t="s">
        <v>1357</v>
      </c>
      <c r="E11" s="1186" t="s">
        <v>1356</v>
      </c>
      <c r="F11" s="1175">
        <v>25</v>
      </c>
    </row>
    <row r="12" spans="2:10" s="1180" customFormat="1" ht="3" customHeight="1" x14ac:dyDescent="0.25">
      <c r="B12" s="1185"/>
      <c r="C12" s="1181"/>
      <c r="E12" s="1186"/>
      <c r="F12" s="1175"/>
    </row>
    <row r="13" spans="2:10" s="1180" customFormat="1" ht="15" customHeight="1" x14ac:dyDescent="0.25">
      <c r="B13" s="1205" t="s">
        <v>1372</v>
      </c>
      <c r="C13" s="1206" t="s">
        <v>1371</v>
      </c>
      <c r="D13" s="1207" t="s">
        <v>1370</v>
      </c>
      <c r="E13" s="1208" t="s">
        <v>929</v>
      </c>
      <c r="F13" s="1209">
        <v>50</v>
      </c>
    </row>
    <row r="14" spans="2:10" s="1180" customFormat="1" ht="15" customHeight="1" x14ac:dyDescent="0.25">
      <c r="B14" s="1210" t="s">
        <v>1369</v>
      </c>
      <c r="C14" s="1211" t="s">
        <v>1368</v>
      </c>
      <c r="D14" s="1204" t="s">
        <v>1367</v>
      </c>
      <c r="E14" s="1212" t="s">
        <v>1387</v>
      </c>
      <c r="F14" s="1213">
        <v>0</v>
      </c>
    </row>
    <row r="15" spans="2:10" s="1180" customFormat="1" ht="15" customHeight="1" x14ac:dyDescent="0.25">
      <c r="B15" s="1214" t="s">
        <v>1366</v>
      </c>
      <c r="C15" s="1215" t="s">
        <v>1365</v>
      </c>
      <c r="D15" s="1216" t="s">
        <v>1364</v>
      </c>
      <c r="E15" s="1217" t="s">
        <v>1388</v>
      </c>
      <c r="F15" s="1218">
        <v>0</v>
      </c>
    </row>
    <row r="16" spans="2:10" s="1180" customFormat="1" ht="3" customHeight="1" x14ac:dyDescent="0.25">
      <c r="B16" s="1185"/>
      <c r="C16" s="1181"/>
      <c r="E16" s="1186"/>
      <c r="F16" s="1175"/>
      <c r="J16"/>
    </row>
    <row r="17" spans="2:10" s="1180" customFormat="1" x14ac:dyDescent="0.25">
      <c r="B17" s="1185" t="s">
        <v>1355</v>
      </c>
      <c r="C17" s="1181" t="s">
        <v>1355</v>
      </c>
      <c r="D17" s="1180" t="s">
        <v>1354</v>
      </c>
      <c r="E17" s="1186" t="s">
        <v>929</v>
      </c>
      <c r="F17" s="1175">
        <v>0</v>
      </c>
      <c r="J17"/>
    </row>
    <row r="18" spans="2:10" s="1180" customFormat="1" ht="3" customHeight="1" x14ac:dyDescent="0.25">
      <c r="B18" s="1185"/>
      <c r="C18" s="1181"/>
      <c r="E18" s="1186"/>
      <c r="F18" s="1175"/>
      <c r="J18"/>
    </row>
    <row r="19" spans="2:10" s="1180" customFormat="1" ht="15" customHeight="1" x14ac:dyDescent="0.25">
      <c r="B19" s="1199" t="s">
        <v>929</v>
      </c>
      <c r="C19" s="1200" t="s">
        <v>1389</v>
      </c>
      <c r="D19" s="1201" t="s">
        <v>1393</v>
      </c>
      <c r="E19" s="1202" t="s">
        <v>1390</v>
      </c>
      <c r="F19" s="1203">
        <v>0</v>
      </c>
      <c r="J19"/>
    </row>
    <row r="20" spans="2:10" s="1180" customFormat="1" ht="3" customHeight="1" x14ac:dyDescent="0.25">
      <c r="B20" s="1185"/>
      <c r="C20" s="1181"/>
      <c r="E20" s="1186"/>
      <c r="F20" s="1175"/>
      <c r="J20"/>
    </row>
    <row r="21" spans="2:10" s="1180" customFormat="1" x14ac:dyDescent="0.25">
      <c r="B21" s="1185" t="s">
        <v>1381</v>
      </c>
      <c r="C21" s="1181" t="s">
        <v>1381</v>
      </c>
      <c r="D21" s="1180" t="s">
        <v>1382</v>
      </c>
      <c r="E21" s="1186" t="s">
        <v>929</v>
      </c>
      <c r="F21" s="1175">
        <v>0</v>
      </c>
      <c r="J21"/>
    </row>
    <row r="22" spans="2:10" s="1180" customFormat="1" x14ac:dyDescent="0.25">
      <c r="B22" s="1185" t="s">
        <v>929</v>
      </c>
      <c r="C22" s="1181" t="s">
        <v>1384</v>
      </c>
      <c r="D22" s="1180" t="s">
        <v>1385</v>
      </c>
      <c r="E22" s="1186" t="s">
        <v>929</v>
      </c>
      <c r="F22" s="1175">
        <v>0</v>
      </c>
      <c r="J22"/>
    </row>
    <row r="23" spans="2:10" s="1180" customFormat="1" x14ac:dyDescent="0.25">
      <c r="B23" s="1185" t="s">
        <v>929</v>
      </c>
      <c r="C23" s="1181" t="s">
        <v>1383</v>
      </c>
      <c r="D23" s="1180" t="s">
        <v>1386</v>
      </c>
      <c r="E23" s="1186" t="s">
        <v>929</v>
      </c>
      <c r="F23" s="1175">
        <v>0</v>
      </c>
      <c r="J23"/>
    </row>
    <row r="24" spans="2:10" s="1180" customFormat="1" ht="3" customHeight="1" x14ac:dyDescent="0.25">
      <c r="B24" s="1185"/>
      <c r="C24" s="1181"/>
      <c r="E24" s="1186"/>
      <c r="F24" s="1175"/>
      <c r="J24"/>
    </row>
    <row r="25" spans="2:10" s="1180" customFormat="1" ht="15" customHeight="1" x14ac:dyDescent="0.25">
      <c r="B25" s="1205" t="s">
        <v>929</v>
      </c>
      <c r="C25" s="1206" t="s">
        <v>944</v>
      </c>
      <c r="D25" s="1207" t="s">
        <v>1398</v>
      </c>
      <c r="E25" s="1208" t="s">
        <v>929</v>
      </c>
      <c r="F25" s="1209">
        <v>10</v>
      </c>
      <c r="J25"/>
    </row>
    <row r="26" spans="2:10" s="1180" customFormat="1" ht="15" customHeight="1" x14ac:dyDescent="0.25">
      <c r="B26" s="1214" t="s">
        <v>1392</v>
      </c>
      <c r="C26" s="1215" t="s">
        <v>945</v>
      </c>
      <c r="D26" s="1216" t="s">
        <v>1401</v>
      </c>
      <c r="E26" s="1217" t="s">
        <v>929</v>
      </c>
      <c r="F26" s="1218">
        <v>15</v>
      </c>
      <c r="J26"/>
    </row>
    <row r="27" spans="2:10" ht="4.1500000000000004" customHeight="1" thickBot="1" x14ac:dyDescent="0.3">
      <c r="B27" s="1187"/>
      <c r="C27" s="1188"/>
      <c r="D27" s="1189"/>
      <c r="E27" s="1190"/>
      <c r="F27" s="1191"/>
      <c r="J27"/>
    </row>
    <row r="28" spans="2:10" ht="7.9" customHeight="1" x14ac:dyDescent="0.25">
      <c r="J28"/>
    </row>
    <row r="29" spans="2:10" x14ac:dyDescent="0.25">
      <c r="B29" s="1223" t="s">
        <v>1397</v>
      </c>
    </row>
    <row r="31" spans="2:10" x14ac:dyDescent="0.25">
      <c r="B31" s="1169" t="s">
        <v>1394</v>
      </c>
    </row>
  </sheetData>
  <printOptions horizontalCentered="1"/>
  <pageMargins left="0.11" right="0.11" top="0.5" bottom="0.5" header="0.3" footer="0.3"/>
  <pageSetup scale="8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4038E-B21D-4114-83A9-11C3EE37F36B}">
  <sheetPr codeName="Sheet3">
    <pageSetUpPr autoPageBreaks="0" fitToPage="1"/>
  </sheetPr>
  <dimension ref="B1:N33"/>
  <sheetViews>
    <sheetView showGridLines="0" tabSelected="1" zoomScale="90" zoomScaleNormal="90" workbookViewId="0">
      <selection activeCell="B42" sqref="B42"/>
    </sheetView>
  </sheetViews>
  <sheetFormatPr defaultRowHeight="15" outlineLevelCol="1" x14ac:dyDescent="0.25"/>
  <cols>
    <col min="1" max="1" width="2.7109375" customWidth="1"/>
    <col min="2" max="2" width="8.5703125" customWidth="1"/>
    <col min="3" max="3" width="14.7109375" customWidth="1"/>
    <col min="4" max="4" width="31.7109375" customWidth="1"/>
    <col min="5" max="6" width="17.85546875" customWidth="1"/>
    <col min="7" max="7" width="26.5703125" style="3" hidden="1" customWidth="1" outlineLevel="1"/>
    <col min="8" max="13" width="17.85546875" hidden="1" customWidth="1" outlineLevel="1"/>
    <col min="14" max="14" width="15.28515625" customWidth="1" collapsed="1"/>
    <col min="15" max="20" width="15.28515625" customWidth="1"/>
  </cols>
  <sheetData>
    <row r="1" spans="2:9" ht="9.9499999999999993" customHeight="1" x14ac:dyDescent="0.25"/>
    <row r="3" spans="2:9" ht="18.75" x14ac:dyDescent="0.3">
      <c r="I3" s="44"/>
    </row>
    <row r="4" spans="2:9" ht="18.75" x14ac:dyDescent="0.3">
      <c r="I4" s="44"/>
    </row>
    <row r="5" spans="2:9" ht="18.75" x14ac:dyDescent="0.3">
      <c r="I5" s="44"/>
    </row>
    <row r="6" spans="2:9" ht="18.75" x14ac:dyDescent="0.3">
      <c r="I6" s="44"/>
    </row>
    <row r="9" spans="2:9" s="72" customFormat="1" ht="34.15" customHeight="1" x14ac:dyDescent="0.25">
      <c r="B9" s="448" t="s">
        <v>531</v>
      </c>
      <c r="G9" s="382"/>
    </row>
    <row r="10" spans="2:9" s="450" customFormat="1" ht="34.9" customHeight="1" x14ac:dyDescent="0.5">
      <c r="B10" s="782" t="s">
        <v>532</v>
      </c>
      <c r="G10" s="451"/>
    </row>
    <row r="11" spans="2:9" s="780" customFormat="1" ht="22.5" customHeight="1" x14ac:dyDescent="0.25">
      <c r="B11" s="971" t="str">
        <f>_xlfn.CONCAT("Effective ",TEXT($G11,"mmmm d, yyyy"))</f>
        <v>Effective March 17, 2025</v>
      </c>
      <c r="C11" s="454"/>
      <c r="G11" s="781">
        <v>45733</v>
      </c>
    </row>
    <row r="12" spans="2:9" s="45" customFormat="1" ht="22.9" customHeight="1" x14ac:dyDescent="0.35">
      <c r="G12" s="452"/>
    </row>
    <row r="13" spans="2:9" s="454" customFormat="1" ht="30.75" customHeight="1" x14ac:dyDescent="0.25">
      <c r="B13" s="972" t="str">
        <f>_xlfn.CONCAT(TEXT($G13,"$##.00")," Minimum Order")</f>
        <v>$20.00 Minimum Order</v>
      </c>
      <c r="C13" s="972"/>
      <c r="D13" s="973"/>
      <c r="G13" s="455">
        <v>20</v>
      </c>
      <c r="H13" s="834" t="s">
        <v>934</v>
      </c>
    </row>
    <row r="14" spans="2:9" s="449" customFormat="1" ht="18.75" x14ac:dyDescent="0.3">
      <c r="B14" s="974"/>
      <c r="C14" s="974"/>
      <c r="D14" s="974"/>
      <c r="G14" s="452"/>
    </row>
    <row r="15" spans="2:9" s="45" customFormat="1" ht="21.6" customHeight="1" x14ac:dyDescent="0.35">
      <c r="B15" s="972" t="s">
        <v>1297</v>
      </c>
      <c r="C15" s="972" t="s">
        <v>534</v>
      </c>
      <c r="D15" s="974"/>
      <c r="G15" s="452"/>
    </row>
    <row r="16" spans="2:9" s="45" customFormat="1" ht="21" x14ac:dyDescent="0.35">
      <c r="B16" s="972" t="s">
        <v>1296</v>
      </c>
      <c r="C16" s="972" t="s">
        <v>533</v>
      </c>
      <c r="D16" s="974"/>
      <c r="G16" s="452"/>
    </row>
    <row r="17" spans="2:8" s="45" customFormat="1" ht="21" x14ac:dyDescent="0.35">
      <c r="B17" s="783"/>
      <c r="C17" s="783"/>
      <c r="D17" s="449"/>
      <c r="G17" s="452"/>
    </row>
    <row r="18" spans="2:8" s="45" customFormat="1" ht="21" x14ac:dyDescent="0.35">
      <c r="B18" s="783"/>
      <c r="C18" s="783"/>
      <c r="D18" s="449"/>
      <c r="G18" s="452"/>
    </row>
    <row r="19" spans="2:8" s="45" customFormat="1" ht="21" x14ac:dyDescent="0.35">
      <c r="B19" s="1344" t="s">
        <v>535</v>
      </c>
      <c r="G19" s="452"/>
    </row>
    <row r="20" spans="2:8" s="45" customFormat="1" ht="21" x14ac:dyDescent="0.35">
      <c r="H20" s="835" t="s">
        <v>935</v>
      </c>
    </row>
    <row r="21" spans="2:8" s="45" customFormat="1" ht="21" x14ac:dyDescent="0.35">
      <c r="B21" s="1345" t="str">
        <f>_xlfn.CONCAT("Latest revision: ",TEXT($G21,"mmmm d, yyyy"))</f>
        <v>Latest revision: April 10, 2025</v>
      </c>
      <c r="G21" s="781">
        <v>45757</v>
      </c>
    </row>
    <row r="22" spans="2:8" s="1355" customFormat="1" ht="12.75" x14ac:dyDescent="0.2">
      <c r="G22" s="1356"/>
    </row>
    <row r="23" spans="2:8" s="1355" customFormat="1" ht="12.75" x14ac:dyDescent="0.2">
      <c r="G23" s="1356"/>
    </row>
    <row r="24" spans="2:8" s="1355" customFormat="1" ht="12.75" x14ac:dyDescent="0.2">
      <c r="G24" s="1356"/>
    </row>
    <row r="25" spans="2:8" s="1355" customFormat="1" ht="12.75" x14ac:dyDescent="0.2">
      <c r="G25" s="1356"/>
    </row>
    <row r="26" spans="2:8" s="1355" customFormat="1" ht="12.75" x14ac:dyDescent="0.2">
      <c r="G26" s="1356"/>
    </row>
    <row r="27" spans="2:8" s="1355" customFormat="1" ht="12.75" x14ac:dyDescent="0.2">
      <c r="G27" s="1356"/>
    </row>
    <row r="28" spans="2:8" s="1355" customFormat="1" ht="12.75" x14ac:dyDescent="0.2">
      <c r="G28" s="1356"/>
    </row>
    <row r="29" spans="2:8" s="1355" customFormat="1" ht="12.75" x14ac:dyDescent="0.2">
      <c r="G29" s="1356"/>
    </row>
    <row r="30" spans="2:8" s="1355" customFormat="1" ht="12.75" x14ac:dyDescent="0.2">
      <c r="G30" s="1356"/>
    </row>
    <row r="31" spans="2:8" s="1355" customFormat="1" ht="12.75" x14ac:dyDescent="0.2">
      <c r="G31" s="1356"/>
    </row>
    <row r="32" spans="2:8" s="1355" customFormat="1" ht="12.75" x14ac:dyDescent="0.2">
      <c r="G32" s="1356"/>
    </row>
    <row r="33" spans="7:7" s="1355" customFormat="1" ht="12.75" x14ac:dyDescent="0.2">
      <c r="G33" s="1356"/>
    </row>
  </sheetData>
  <sheetProtection algorithmName="SHA-512" hashValue="AWlu7oufZ3fSaDZUR3xfpgXvZ9Hsebn5HGa7nIXZZAaakcBOMlMzpA0xMu4cFo+3IXZ7YtE8WkPVN0HwQWUXXw==" saltValue="2p8zA6oNJPwmPKOtjlp7jA==" spinCount="100000" sheet="1" objects="1" scenarios="1"/>
  <pageMargins left="0.25" right="0.25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6E775-F51C-4D7A-81C0-089E4D279300}">
  <sheetPr codeName="Sheet4">
    <outlinePr summaryBelow="0"/>
    <pageSetUpPr autoPageBreaks="0" fitToPage="1"/>
  </sheetPr>
  <dimension ref="B1:AG57"/>
  <sheetViews>
    <sheetView showGridLines="0" zoomScale="90" zoomScaleNormal="90" workbookViewId="0">
      <selection activeCell="I66" sqref="I66"/>
    </sheetView>
  </sheetViews>
  <sheetFormatPr defaultRowHeight="15" outlineLevelRow="1" outlineLevelCol="1" x14ac:dyDescent="0.25"/>
  <cols>
    <col min="1" max="1" width="2.7109375" customWidth="1"/>
    <col min="2" max="2" width="12.42578125" style="3" hidden="1" customWidth="1" outlineLevel="1"/>
    <col min="3" max="7" width="12.42578125" hidden="1" customWidth="1" outlineLevel="1"/>
    <col min="8" max="8" width="2.7109375" hidden="1" customWidth="1" outlineLevel="1"/>
    <col min="9" max="9" width="21.85546875" customWidth="1" collapsed="1"/>
    <col min="10" max="10" width="17.7109375" style="11" customWidth="1"/>
    <col min="11" max="11" width="17.7109375" customWidth="1"/>
    <col min="12" max="12" width="2.7109375" customWidth="1"/>
    <col min="13" max="13" width="21.28515625" hidden="1" customWidth="1" outlineLevel="1"/>
    <col min="14" max="14" width="21.28515625" style="3" hidden="1" customWidth="1" outlineLevel="1"/>
    <col min="15" max="15" width="2.7109375" hidden="1" customWidth="1" outlineLevel="1"/>
    <col min="16" max="20" width="11.5703125" hidden="1" customWidth="1" outlineLevel="1"/>
    <col min="21" max="21" width="1.7109375" hidden="1" customWidth="1" outlineLevel="1"/>
    <col min="22" max="22" width="21.42578125" style="17" hidden="1" customWidth="1" outlineLevel="1"/>
    <col min="23" max="23" width="40.28515625" style="38" hidden="1" customWidth="1" outlineLevel="1"/>
    <col min="24" max="24" width="11.7109375" style="15" hidden="1" customWidth="1" outlineLevel="1"/>
    <col min="25" max="25" width="1.7109375" style="15" hidden="1" customWidth="1" outlineLevel="1"/>
    <col min="26" max="26" width="21.85546875" style="17" hidden="1" customWidth="1" outlineLevel="1"/>
    <col min="27" max="27" width="33" hidden="1" customWidth="1" outlineLevel="1"/>
    <col min="28" max="28" width="11.28515625" style="11" hidden="1" customWidth="1" outlineLevel="1"/>
    <col min="29" max="29" width="1.7109375" hidden="1" customWidth="1" outlineLevel="1"/>
    <col min="30" max="31" width="7.140625" style="11" hidden="1" customWidth="1" outlineLevel="1"/>
    <col min="32" max="32" width="9.140625" hidden="1" customWidth="1" outlineLevel="1"/>
    <col min="33" max="33" width="9.140625" collapsed="1"/>
  </cols>
  <sheetData>
    <row r="1" spans="2:31" ht="9.9499999999999993" customHeight="1" x14ac:dyDescent="0.25">
      <c r="V1"/>
      <c r="W1" s="3"/>
      <c r="X1" s="11"/>
      <c r="Y1" s="11"/>
      <c r="Z1"/>
    </row>
    <row r="2" spans="2:31" ht="21" x14ac:dyDescent="0.35">
      <c r="B2" s="787"/>
      <c r="I2" s="1" t="s">
        <v>0</v>
      </c>
      <c r="K2" s="295"/>
      <c r="V2"/>
      <c r="W2" s="3"/>
      <c r="X2" s="11"/>
      <c r="Y2" s="11"/>
      <c r="Z2"/>
    </row>
    <row r="3" spans="2:31" ht="15.75" x14ac:dyDescent="0.25">
      <c r="B3" s="574" t="s">
        <v>859</v>
      </c>
      <c r="C3" s="574" t="s">
        <v>860</v>
      </c>
      <c r="I3" s="9" t="s">
        <v>492</v>
      </c>
      <c r="J3" s="7"/>
      <c r="K3" s="9"/>
      <c r="L3" s="9"/>
      <c r="M3" s="9"/>
      <c r="N3" s="8"/>
      <c r="O3" s="9"/>
      <c r="V3" s="13" t="s">
        <v>937</v>
      </c>
      <c r="W3" s="2" t="s">
        <v>1351</v>
      </c>
      <c r="X3" s="18"/>
      <c r="Y3" s="18"/>
      <c r="Z3" s="13" t="s">
        <v>937</v>
      </c>
      <c r="AA3" s="13"/>
    </row>
    <row r="4" spans="2:31" ht="16.5" thickBot="1" x14ac:dyDescent="0.3">
      <c r="B4" s="2">
        <v>320</v>
      </c>
      <c r="C4" s="2" t="s">
        <v>0</v>
      </c>
      <c r="I4" s="9"/>
      <c r="J4" s="7"/>
      <c r="K4" s="9"/>
      <c r="L4" s="9"/>
      <c r="M4" s="9"/>
      <c r="N4" s="8"/>
      <c r="O4" s="9"/>
      <c r="R4" t="s">
        <v>929</v>
      </c>
      <c r="V4" s="13" t="s">
        <v>918</v>
      </c>
      <c r="W4" s="2" t="s">
        <v>558</v>
      </c>
      <c r="X4" s="18"/>
      <c r="Y4" s="18"/>
      <c r="Z4" s="13" t="s">
        <v>919</v>
      </c>
      <c r="AA4" s="13" t="s">
        <v>564</v>
      </c>
    </row>
    <row r="5" spans="2:31" ht="15.75" x14ac:dyDescent="0.25">
      <c r="I5" s="592" t="s">
        <v>930</v>
      </c>
      <c r="J5" s="592"/>
      <c r="K5" s="592"/>
      <c r="M5" s="592" t="s">
        <v>1409</v>
      </c>
      <c r="N5" s="592"/>
      <c r="P5" s="9"/>
      <c r="S5" s="9"/>
      <c r="T5" s="9"/>
      <c r="U5" s="9"/>
      <c r="V5"/>
      <c r="W5" s="3"/>
      <c r="X5" s="11"/>
      <c r="Y5" s="11"/>
      <c r="Z5"/>
    </row>
    <row r="6" spans="2:31" ht="5.0999999999999996" customHeight="1" x14ac:dyDescent="0.25">
      <c r="I6" s="126"/>
      <c r="J6"/>
      <c r="K6" s="1192"/>
      <c r="M6" s="1193"/>
      <c r="N6" s="1194"/>
      <c r="P6" s="9"/>
      <c r="S6" s="9"/>
      <c r="T6" s="9"/>
      <c r="U6" s="9"/>
      <c r="V6"/>
      <c r="W6" s="3"/>
      <c r="X6" s="11"/>
      <c r="Y6" s="11"/>
      <c r="Z6"/>
    </row>
    <row r="7" spans="2:31" ht="15.75" x14ac:dyDescent="0.25">
      <c r="B7" s="976" t="s">
        <v>1405</v>
      </c>
      <c r="I7" s="126"/>
      <c r="J7" s="127" t="s">
        <v>565</v>
      </c>
      <c r="K7" s="128" t="s">
        <v>564</v>
      </c>
      <c r="L7" s="35"/>
      <c r="M7" s="1170" t="s">
        <v>565</v>
      </c>
      <c r="N7" s="128" t="s">
        <v>564</v>
      </c>
      <c r="O7" s="35"/>
      <c r="P7" s="9"/>
      <c r="S7" s="9"/>
      <c r="T7" s="9"/>
      <c r="U7" s="9"/>
      <c r="V7" t="s">
        <v>727</v>
      </c>
      <c r="W7" s="3"/>
      <c r="X7" s="11"/>
      <c r="Y7" s="11"/>
      <c r="Z7"/>
    </row>
    <row r="8" spans="2:31" ht="6" customHeight="1" x14ac:dyDescent="0.25">
      <c r="I8" s="129"/>
      <c r="J8" s="127"/>
      <c r="K8" s="130"/>
      <c r="L8" s="35"/>
      <c r="M8" s="102"/>
      <c r="N8" s="507"/>
      <c r="O8" s="35"/>
      <c r="P8" s="9"/>
      <c r="S8" s="9"/>
      <c r="T8" s="9"/>
      <c r="U8" s="9"/>
      <c r="V8"/>
      <c r="W8" s="3"/>
      <c r="X8" s="11"/>
      <c r="Y8" s="11"/>
      <c r="Z8"/>
    </row>
    <row r="9" spans="2:31" ht="15.75" x14ac:dyDescent="0.25">
      <c r="I9" s="796" t="s">
        <v>563</v>
      </c>
      <c r="J9" s="127"/>
      <c r="K9" s="130"/>
      <c r="L9" s="35"/>
      <c r="M9" s="102"/>
      <c r="N9" s="507"/>
      <c r="O9" s="35"/>
      <c r="P9" s="9"/>
      <c r="S9" s="9"/>
      <c r="T9" s="9"/>
      <c r="U9" s="9"/>
      <c r="V9"/>
      <c r="W9" s="3"/>
      <c r="X9" s="838"/>
      <c r="Y9" s="838"/>
      <c r="Z9"/>
      <c r="AB9" s="838"/>
    </row>
    <row r="10" spans="2:31" ht="15.75" x14ac:dyDescent="0.25">
      <c r="B10" s="47" t="s">
        <v>555</v>
      </c>
      <c r="C10" s="13"/>
      <c r="D10" s="13"/>
      <c r="E10" s="2" t="s">
        <v>554</v>
      </c>
      <c r="F10" s="13"/>
      <c r="I10" s="131" t="s">
        <v>553</v>
      </c>
      <c r="J10" s="288">
        <v>30</v>
      </c>
      <c r="K10" s="291">
        <v>50</v>
      </c>
      <c r="L10" s="35"/>
      <c r="M10" s="102" t="str">
        <f>V10</f>
        <v>CAL-XX-PIN-NEW</v>
      </c>
      <c r="N10" s="507" t="str">
        <f>Z10</f>
        <v>CAL-XX-PIN-CUST</v>
      </c>
      <c r="O10" s="35"/>
      <c r="P10" s="849" t="s">
        <v>198</v>
      </c>
      <c r="Q10" s="13" t="s">
        <v>938</v>
      </c>
      <c r="R10" s="13" t="s">
        <v>947</v>
      </c>
      <c r="S10" s="849" t="s">
        <v>558</v>
      </c>
      <c r="T10" s="849" t="s">
        <v>951</v>
      </c>
      <c r="U10" s="849"/>
      <c r="V10" t="str">
        <f>_xlfn.CONCAT(V$3,$P10,$V$7,$Q10,$V$4)</f>
        <v>CAL-XX-PIN-NEW</v>
      </c>
      <c r="W10" s="841" t="str">
        <f>_xlfn.CONCAT($W$3," ",$P10," ",$R10,", ",$S10)</f>
        <v>Calibration - XX Pin, New</v>
      </c>
      <c r="X10" s="1172">
        <f>$J10</f>
        <v>30</v>
      </c>
      <c r="Y10" s="838"/>
      <c r="Z10" t="str">
        <f>_xlfn.CONCAT(Z$3,$P10,$V$7,$Q10,$Z$4)</f>
        <v>CAL-XX-PIN-CUST</v>
      </c>
      <c r="AA10" s="841" t="str">
        <f>_xlfn.CONCAT($W$3," ",$P10," ",$R10,", ",$T10)</f>
        <v>Calibration - XX Pin, Customer</v>
      </c>
      <c r="AB10" s="1172">
        <f>$K10</f>
        <v>50</v>
      </c>
      <c r="AD10" s="11">
        <f t="shared" ref="AD10:AD13" si="0">LEN(W10)</f>
        <v>25</v>
      </c>
      <c r="AE10" s="11">
        <f t="shared" ref="AE10:AE13" si="1">LEN(AA10)</f>
        <v>30</v>
      </c>
    </row>
    <row r="11" spans="2:31" ht="15.75" x14ac:dyDescent="0.25">
      <c r="B11" s="47" t="s">
        <v>557</v>
      </c>
      <c r="C11" s="13"/>
      <c r="D11" s="13"/>
      <c r="E11" s="2" t="s">
        <v>556</v>
      </c>
      <c r="F11" s="13"/>
      <c r="I11" s="131" t="s">
        <v>213</v>
      </c>
      <c r="J11" s="288">
        <v>30</v>
      </c>
      <c r="K11" s="291">
        <v>50</v>
      </c>
      <c r="L11" s="35"/>
      <c r="M11" s="102" t="str">
        <f t="shared" ref="M11:M13" si="2">V11</f>
        <v>CAL-X-PIN-NEW</v>
      </c>
      <c r="N11" s="507" t="str">
        <f t="shared" ref="N11:N13" si="3">Z11</f>
        <v>CAL-X-PIN-CUST</v>
      </c>
      <c r="O11" s="35"/>
      <c r="P11" s="849" t="s">
        <v>197</v>
      </c>
      <c r="Q11" s="13" t="s">
        <v>938</v>
      </c>
      <c r="R11" s="13" t="s">
        <v>947</v>
      </c>
      <c r="S11" s="849" t="s">
        <v>558</v>
      </c>
      <c r="T11" s="849" t="s">
        <v>951</v>
      </c>
      <c r="U11" s="849"/>
      <c r="V11" t="str">
        <f>_xlfn.CONCAT(V$3,$P11,$V$7,$Q11,$V$4)</f>
        <v>CAL-X-PIN-NEW</v>
      </c>
      <c r="W11" s="841" t="str">
        <f t="shared" ref="W11:W13" si="4">_xlfn.CONCAT($W$3," ",$P11," ",R11,", ",S11)</f>
        <v>Calibration - X Pin, New</v>
      </c>
      <c r="X11" s="1172">
        <f t="shared" ref="X11:X13" si="5">$J11</f>
        <v>30</v>
      </c>
      <c r="Y11" s="838"/>
      <c r="Z11" t="str">
        <f t="shared" ref="Z11:Z17" si="6">_xlfn.CONCAT(Z$3,$P11,$V$7,$Q11,$Z$4)</f>
        <v>CAL-X-PIN-CUST</v>
      </c>
      <c r="AA11" s="841" t="str">
        <f t="shared" ref="AA11:AA13" si="7">_xlfn.CONCAT($W$3," ",$P11," ",$R11,", ",$T11)</f>
        <v>Calibration - X Pin, Customer</v>
      </c>
      <c r="AB11" s="1172">
        <f t="shared" ref="AB11:AB13" si="8">$K11</f>
        <v>50</v>
      </c>
      <c r="AD11" s="11">
        <f t="shared" si="0"/>
        <v>24</v>
      </c>
      <c r="AE11" s="11">
        <f t="shared" si="1"/>
        <v>29</v>
      </c>
    </row>
    <row r="12" spans="2:31" ht="15.75" x14ac:dyDescent="0.25">
      <c r="B12" s="47" t="s">
        <v>560</v>
      </c>
      <c r="C12" s="13"/>
      <c r="D12" s="13"/>
      <c r="E12" s="2" t="s">
        <v>559</v>
      </c>
      <c r="F12" s="13"/>
      <c r="I12" s="131" t="s">
        <v>537</v>
      </c>
      <c r="J12" s="288">
        <v>15</v>
      </c>
      <c r="K12" s="291">
        <v>30</v>
      </c>
      <c r="L12" s="35"/>
      <c r="M12" s="102" t="str">
        <f t="shared" si="2"/>
        <v>CAL-Z-PIN-NEW</v>
      </c>
      <c r="N12" s="507" t="str">
        <f t="shared" si="3"/>
        <v>CAL-Z-PIN-CUST</v>
      </c>
      <c r="O12" s="35"/>
      <c r="P12" s="849" t="s">
        <v>196</v>
      </c>
      <c r="Q12" s="13" t="s">
        <v>938</v>
      </c>
      <c r="R12" s="13" t="s">
        <v>947</v>
      </c>
      <c r="S12" s="849" t="s">
        <v>558</v>
      </c>
      <c r="T12" s="849" t="s">
        <v>951</v>
      </c>
      <c r="U12" s="849"/>
      <c r="V12" t="str">
        <f>_xlfn.CONCAT(V$3,$P12,$V$7,$Q12,$V$4)</f>
        <v>CAL-Z-PIN-NEW</v>
      </c>
      <c r="W12" s="841" t="str">
        <f t="shared" si="4"/>
        <v>Calibration - Z Pin, New</v>
      </c>
      <c r="X12" s="1172">
        <f t="shared" si="5"/>
        <v>15</v>
      </c>
      <c r="Y12" s="838"/>
      <c r="Z12" t="str">
        <f t="shared" si="6"/>
        <v>CAL-Z-PIN-CUST</v>
      </c>
      <c r="AA12" s="841" t="str">
        <f t="shared" si="7"/>
        <v>Calibration - Z Pin, Customer</v>
      </c>
      <c r="AB12" s="1172">
        <f t="shared" si="8"/>
        <v>30</v>
      </c>
      <c r="AD12" s="11">
        <f t="shared" si="0"/>
        <v>24</v>
      </c>
      <c r="AE12" s="11">
        <f t="shared" si="1"/>
        <v>29</v>
      </c>
    </row>
    <row r="13" spans="2:31" ht="15.75" x14ac:dyDescent="0.25">
      <c r="B13" s="2" t="s">
        <v>562</v>
      </c>
      <c r="C13" s="13"/>
      <c r="D13" s="13"/>
      <c r="E13" s="2" t="s">
        <v>561</v>
      </c>
      <c r="F13" s="13"/>
      <c r="I13" s="131" t="s">
        <v>212</v>
      </c>
      <c r="J13" s="288">
        <v>15</v>
      </c>
      <c r="K13" s="291">
        <v>30</v>
      </c>
      <c r="L13" s="35"/>
      <c r="M13" s="102" t="str">
        <f t="shared" si="2"/>
        <v>CAL-ZZ-PIN-NEW</v>
      </c>
      <c r="N13" s="507" t="str">
        <f t="shared" si="3"/>
        <v>CAL-ZZ-PIN-CUST</v>
      </c>
      <c r="O13" s="35"/>
      <c r="P13" s="849" t="s">
        <v>659</v>
      </c>
      <c r="Q13" s="13" t="s">
        <v>938</v>
      </c>
      <c r="R13" s="13" t="s">
        <v>947</v>
      </c>
      <c r="S13" s="849" t="s">
        <v>558</v>
      </c>
      <c r="T13" s="849" t="s">
        <v>951</v>
      </c>
      <c r="U13" s="849"/>
      <c r="V13" t="str">
        <f>_xlfn.CONCAT(V$3,$P13,$V$7,$Q13,$V$4)</f>
        <v>CAL-ZZ-PIN-NEW</v>
      </c>
      <c r="W13" s="841" t="str">
        <f t="shared" si="4"/>
        <v>Calibration - ZZ Pin, New</v>
      </c>
      <c r="X13" s="1172">
        <f t="shared" si="5"/>
        <v>15</v>
      </c>
      <c r="Y13" s="838"/>
      <c r="Z13" t="str">
        <f t="shared" si="6"/>
        <v>CAL-ZZ-PIN-CUST</v>
      </c>
      <c r="AA13" s="841" t="str">
        <f t="shared" si="7"/>
        <v>Calibration - ZZ Pin, Customer</v>
      </c>
      <c r="AB13" s="1172">
        <f t="shared" si="8"/>
        <v>30</v>
      </c>
      <c r="AD13" s="11">
        <f t="shared" si="0"/>
        <v>25</v>
      </c>
      <c r="AE13" s="11">
        <f t="shared" si="1"/>
        <v>30</v>
      </c>
    </row>
    <row r="14" spans="2:31" ht="15.75" x14ac:dyDescent="0.25">
      <c r="B14" s="13"/>
      <c r="C14" s="13"/>
      <c r="D14" s="13"/>
      <c r="E14" s="13"/>
      <c r="F14" s="13"/>
      <c r="I14" s="129"/>
      <c r="J14" s="12"/>
      <c r="K14" s="1198"/>
      <c r="M14" s="102"/>
      <c r="N14" s="507"/>
      <c r="P14" s="849"/>
      <c r="Q14" s="13"/>
      <c r="R14" s="13"/>
      <c r="S14" s="849"/>
      <c r="T14" s="849"/>
      <c r="U14" s="849"/>
      <c r="V14"/>
      <c r="W14" s="3"/>
      <c r="X14" s="1172"/>
      <c r="Y14" s="838"/>
      <c r="Z14"/>
      <c r="AB14" s="1172"/>
    </row>
    <row r="15" spans="2:31" ht="15.75" x14ac:dyDescent="0.25">
      <c r="B15" s="2"/>
      <c r="C15" s="13"/>
      <c r="D15" s="13"/>
      <c r="E15" s="2"/>
      <c r="F15" s="13"/>
      <c r="I15" s="796" t="s">
        <v>211</v>
      </c>
      <c r="J15" s="288"/>
      <c r="K15" s="291"/>
      <c r="L15" s="35"/>
      <c r="M15" s="102"/>
      <c r="N15" s="507"/>
      <c r="O15" s="35"/>
      <c r="P15" s="849"/>
      <c r="Q15" s="13"/>
      <c r="R15" s="13"/>
      <c r="S15" s="849"/>
      <c r="T15" s="849"/>
      <c r="U15" s="849"/>
      <c r="V15"/>
      <c r="W15" s="3"/>
      <c r="X15" s="1172"/>
      <c r="Y15" s="838"/>
      <c r="Z15"/>
      <c r="AB15" s="1172"/>
    </row>
    <row r="16" spans="2:31" ht="15.75" x14ac:dyDescent="0.25">
      <c r="B16" s="2" t="s">
        <v>550</v>
      </c>
      <c r="C16" s="13"/>
      <c r="D16" s="13"/>
      <c r="E16" s="2" t="s">
        <v>549</v>
      </c>
      <c r="F16" s="13"/>
      <c r="I16" s="131" t="s">
        <v>213</v>
      </c>
      <c r="J16" s="288">
        <v>30</v>
      </c>
      <c r="K16" s="291">
        <v>50</v>
      </c>
      <c r="L16" s="35"/>
      <c r="M16" s="102" t="str">
        <f t="shared" ref="M16:M17" si="9">V16</f>
        <v>CAL-X-CUSTOM-NEW</v>
      </c>
      <c r="N16" s="507" t="str">
        <f t="shared" ref="N16:N17" si="10">Z16</f>
        <v>CAL-X-CUSTOM-CUST</v>
      </c>
      <c r="O16" s="35"/>
      <c r="P16" s="849" t="s">
        <v>197</v>
      </c>
      <c r="Q16" s="13" t="s">
        <v>952</v>
      </c>
      <c r="R16" s="13" t="s">
        <v>953</v>
      </c>
      <c r="S16" s="849" t="s">
        <v>558</v>
      </c>
      <c r="T16" s="849" t="s">
        <v>951</v>
      </c>
      <c r="U16" s="849"/>
      <c r="V16" t="str">
        <f>_xlfn.CONCAT(V$3,$P16,$V$7,$Q16,$V$4)</f>
        <v>CAL-X-CUSTOM-NEW</v>
      </c>
      <c r="W16" s="841" t="str">
        <f>_xlfn.CONCAT($W$3," ",$P16," ",$R16,", ",$S16)</f>
        <v>Calibration - X Custom, New</v>
      </c>
      <c r="X16" s="1172">
        <f t="shared" ref="X16:X17" si="11">$J16</f>
        <v>30</v>
      </c>
      <c r="Y16" s="838"/>
      <c r="Z16" t="str">
        <f t="shared" si="6"/>
        <v>CAL-X-CUSTOM-CUST</v>
      </c>
      <c r="AA16" s="841" t="str">
        <f>_xlfn.CONCAT($W$3," ",$P16," ",$R16,", ",$T16)</f>
        <v>Calibration - X Custom, Customer</v>
      </c>
      <c r="AB16" s="1172">
        <f t="shared" ref="AB16:AB17" si="12">$K16</f>
        <v>50</v>
      </c>
      <c r="AD16" s="11">
        <f t="shared" ref="AD16:AD17" si="13">LEN(W16)</f>
        <v>27</v>
      </c>
      <c r="AE16" s="11">
        <f t="shared" ref="AE16:AE17" si="14">LEN(AA16)</f>
        <v>32</v>
      </c>
    </row>
    <row r="17" spans="2:31" ht="15.75" x14ac:dyDescent="0.25">
      <c r="B17" s="2" t="s">
        <v>552</v>
      </c>
      <c r="C17" s="13"/>
      <c r="D17" s="13"/>
      <c r="E17" s="2" t="s">
        <v>551</v>
      </c>
      <c r="F17" s="13"/>
      <c r="I17" s="131" t="s">
        <v>212</v>
      </c>
      <c r="J17" s="288">
        <v>15</v>
      </c>
      <c r="K17" s="291">
        <v>30</v>
      </c>
      <c r="L17" s="35"/>
      <c r="M17" s="102" t="str">
        <f t="shared" si="9"/>
        <v>CAL-ZZ-CUSTOM-NEW</v>
      </c>
      <c r="N17" s="507" t="str">
        <f t="shared" si="10"/>
        <v>CAL-ZZ-CUSTOM-CUST</v>
      </c>
      <c r="O17" s="35"/>
      <c r="P17" s="849" t="s">
        <v>659</v>
      </c>
      <c r="Q17" s="13" t="s">
        <v>952</v>
      </c>
      <c r="R17" s="13" t="s">
        <v>953</v>
      </c>
      <c r="S17" s="849" t="s">
        <v>558</v>
      </c>
      <c r="T17" s="849" t="s">
        <v>951</v>
      </c>
      <c r="U17" s="849"/>
      <c r="V17" t="str">
        <f>_xlfn.CONCAT(V$3,$P17,$V$7,$Q17,$V$4)</f>
        <v>CAL-ZZ-CUSTOM-NEW</v>
      </c>
      <c r="W17" s="841" t="str">
        <f>_xlfn.CONCAT($W$3," ",$P17," ",$R17,", ",$S17)</f>
        <v>Calibration - ZZ Custom, New</v>
      </c>
      <c r="X17" s="1172">
        <f t="shared" si="11"/>
        <v>15</v>
      </c>
      <c r="Y17" s="838"/>
      <c r="Z17" t="str">
        <f t="shared" si="6"/>
        <v>CAL-ZZ-CUSTOM-CUST</v>
      </c>
      <c r="AA17" s="841" t="str">
        <f>_xlfn.CONCAT($W$3," ",$P17," ",$R17,", ",$T17)</f>
        <v>Calibration - ZZ Custom, Customer</v>
      </c>
      <c r="AB17" s="1172">
        <f t="shared" si="12"/>
        <v>30</v>
      </c>
      <c r="AD17" s="11">
        <f t="shared" si="13"/>
        <v>28</v>
      </c>
      <c r="AE17" s="11">
        <f t="shared" si="14"/>
        <v>33</v>
      </c>
    </row>
    <row r="18" spans="2:31" ht="15.75" x14ac:dyDescent="0.25">
      <c r="B18" s="13"/>
      <c r="C18" s="13"/>
      <c r="D18" s="13"/>
      <c r="E18" s="13"/>
      <c r="F18" s="13"/>
      <c r="I18" s="129"/>
      <c r="J18" s="288"/>
      <c r="K18" s="291"/>
      <c r="M18" s="102"/>
      <c r="N18" s="507"/>
      <c r="P18" s="849"/>
      <c r="Q18" s="13"/>
      <c r="R18" s="13"/>
      <c r="S18" s="849"/>
      <c r="T18" s="849"/>
      <c r="U18" s="849"/>
      <c r="V18"/>
      <c r="W18" s="3"/>
      <c r="X18" s="1172"/>
      <c r="Y18" s="838"/>
      <c r="Z18"/>
      <c r="AB18" s="1172"/>
    </row>
    <row r="19" spans="2:31" ht="15.75" x14ac:dyDescent="0.25">
      <c r="B19" s="13" t="s">
        <v>548</v>
      </c>
      <c r="C19" s="13"/>
      <c r="D19" s="13"/>
      <c r="E19" s="13" t="s">
        <v>547</v>
      </c>
      <c r="F19" s="13"/>
      <c r="I19" s="134" t="s">
        <v>546</v>
      </c>
      <c r="J19" s="288">
        <v>40</v>
      </c>
      <c r="K19" s="291">
        <v>60</v>
      </c>
      <c r="M19" s="102" t="str">
        <f>V19</f>
        <v>CAL-RING-NEW</v>
      </c>
      <c r="N19" s="507" t="str">
        <f t="shared" ref="N19" si="15">Z19</f>
        <v>CAL-RING-CUST</v>
      </c>
      <c r="P19" t="s">
        <v>929</v>
      </c>
      <c r="Q19" s="13" t="s">
        <v>939</v>
      </c>
      <c r="R19" s="13" t="s">
        <v>948</v>
      </c>
      <c r="S19" s="849" t="s">
        <v>558</v>
      </c>
      <c r="T19" s="849" t="s">
        <v>951</v>
      </c>
      <c r="U19" s="849"/>
      <c r="V19" t="str">
        <f>_xlfn.CONCAT(V$3,$Q19,$V$4)</f>
        <v>CAL-RING-NEW</v>
      </c>
      <c r="W19" s="841" t="str">
        <f>_xlfn.CONCAT($W$3," ",$R19,", ",$S19)</f>
        <v>Calibration - Ring, New</v>
      </c>
      <c r="X19" s="1172">
        <f>$J19</f>
        <v>40</v>
      </c>
      <c r="Y19" s="838"/>
      <c r="Z19" t="str">
        <f>_xlfn.CONCAT(Z$3,$Q19,$Z$4)</f>
        <v>CAL-RING-CUST</v>
      </c>
      <c r="AA19" s="841" t="str">
        <f>_xlfn.CONCAT($W$3," ",$R19,", ",$T19)</f>
        <v>Calibration - Ring, Customer</v>
      </c>
      <c r="AB19" s="1172">
        <f t="shared" ref="AB19" si="16">$K19</f>
        <v>60</v>
      </c>
      <c r="AD19" s="11">
        <f>LEN(W19)</f>
        <v>23</v>
      </c>
      <c r="AE19" s="11">
        <f>LEN(AA19)</f>
        <v>28</v>
      </c>
    </row>
    <row r="20" spans="2:31" ht="15.75" x14ac:dyDescent="0.25">
      <c r="B20" s="13"/>
      <c r="C20" s="13"/>
      <c r="D20" s="13"/>
      <c r="E20" s="13"/>
      <c r="F20" s="13"/>
      <c r="I20" s="206"/>
      <c r="J20" s="288"/>
      <c r="K20" s="291"/>
      <c r="M20" s="102"/>
      <c r="N20" s="507"/>
      <c r="P20" s="849"/>
      <c r="Q20" s="13"/>
      <c r="R20" s="13"/>
      <c r="S20" s="849"/>
      <c r="T20" s="849"/>
      <c r="U20" s="849"/>
      <c r="V20"/>
      <c r="W20" s="3"/>
      <c r="X20" s="1172"/>
      <c r="Y20" s="838"/>
      <c r="Z20"/>
      <c r="AA20" s="3"/>
      <c r="AB20" s="1172"/>
    </row>
    <row r="21" spans="2:31" ht="15.75" x14ac:dyDescent="0.25">
      <c r="B21" s="13"/>
      <c r="C21" s="13"/>
      <c r="D21" s="13"/>
      <c r="E21" s="13"/>
      <c r="F21" s="13"/>
      <c r="I21" s="796" t="s">
        <v>677</v>
      </c>
      <c r="J21" s="288"/>
      <c r="K21" s="291"/>
      <c r="M21" s="102"/>
      <c r="N21" s="507"/>
      <c r="P21" s="849"/>
      <c r="Q21" s="13"/>
      <c r="R21" s="13"/>
      <c r="S21" s="849"/>
      <c r="T21" s="849"/>
      <c r="U21" s="849"/>
      <c r="V21"/>
      <c r="W21" s="3"/>
      <c r="X21" s="1172"/>
      <c r="Y21" s="838"/>
      <c r="Z21"/>
      <c r="AA21" s="3"/>
      <c r="AB21" s="1172"/>
    </row>
    <row r="22" spans="2:31" ht="15.75" x14ac:dyDescent="0.25">
      <c r="B22" s="47" t="s">
        <v>545</v>
      </c>
      <c r="C22" s="13"/>
      <c r="D22" s="13"/>
      <c r="E22" s="2" t="s">
        <v>544</v>
      </c>
      <c r="F22" s="13"/>
      <c r="I22" s="133" t="s">
        <v>210</v>
      </c>
      <c r="J22" s="288">
        <v>40</v>
      </c>
      <c r="K22" s="291">
        <v>60</v>
      </c>
      <c r="L22" s="35"/>
      <c r="M22" s="102" t="str">
        <f t="shared" ref="M22:M23" si="17">V22</f>
        <v>CAL-TP-NEW</v>
      </c>
      <c r="N22" s="507" t="str">
        <f t="shared" ref="N22:N23" si="18">Z22</f>
        <v>CAL-TP-CUST</v>
      </c>
      <c r="O22" s="35"/>
      <c r="P22" t="s">
        <v>929</v>
      </c>
      <c r="Q22" s="13" t="s">
        <v>940</v>
      </c>
      <c r="R22" s="13" t="s">
        <v>210</v>
      </c>
      <c r="S22" s="849" t="s">
        <v>558</v>
      </c>
      <c r="T22" s="849" t="s">
        <v>951</v>
      </c>
      <c r="U22" s="849"/>
      <c r="V22" t="str">
        <f>_xlfn.CONCAT(V$3,$Q22,$V$4)</f>
        <v>CAL-TP-NEW</v>
      </c>
      <c r="W22" s="841" t="str">
        <f t="shared" ref="W22:W23" si="19">_xlfn.CONCAT($W$3," ",$R22,", ",$S22)</f>
        <v>Calibration - Taperlock, New</v>
      </c>
      <c r="X22" s="1172">
        <f t="shared" ref="X22:X23" si="20">$J22</f>
        <v>40</v>
      </c>
      <c r="Y22" s="838"/>
      <c r="Z22" t="str">
        <f>_xlfn.CONCAT(Z$3,$Q22,$Z$4)</f>
        <v>CAL-TP-CUST</v>
      </c>
      <c r="AA22" s="841" t="str">
        <f t="shared" ref="AA22:AA23" si="21">_xlfn.CONCAT($W$3," ",$R22,", ",$T22)</f>
        <v>Calibration - Taperlock, Customer</v>
      </c>
      <c r="AB22" s="1172">
        <f t="shared" ref="AB22:AB23" si="22">$K22</f>
        <v>60</v>
      </c>
      <c r="AD22" s="11">
        <f t="shared" ref="AD22:AD23" si="23">LEN(W22)</f>
        <v>28</v>
      </c>
      <c r="AE22" s="11">
        <f t="shared" ref="AE22:AE23" si="24">LEN(AA22)</f>
        <v>33</v>
      </c>
    </row>
    <row r="23" spans="2:31" ht="15.75" x14ac:dyDescent="0.25">
      <c r="B23" s="47" t="s">
        <v>543</v>
      </c>
      <c r="C23" s="13"/>
      <c r="D23" s="13"/>
      <c r="E23" s="2" t="s">
        <v>542</v>
      </c>
      <c r="F23" s="13"/>
      <c r="I23" s="133" t="s">
        <v>208</v>
      </c>
      <c r="J23" s="288">
        <v>40</v>
      </c>
      <c r="K23" s="291">
        <v>60</v>
      </c>
      <c r="L23" s="35"/>
      <c r="M23" s="102" t="str">
        <f t="shared" si="17"/>
        <v>CAL-TR-NEW</v>
      </c>
      <c r="N23" s="507" t="str">
        <f t="shared" si="18"/>
        <v>CAL-TR-CUST</v>
      </c>
      <c r="O23" s="35"/>
      <c r="P23" t="s">
        <v>929</v>
      </c>
      <c r="Q23" s="13" t="s">
        <v>941</v>
      </c>
      <c r="R23" s="13" t="s">
        <v>208</v>
      </c>
      <c r="S23" s="849" t="s">
        <v>558</v>
      </c>
      <c r="T23" s="849" t="s">
        <v>951</v>
      </c>
      <c r="U23" s="849"/>
      <c r="V23" t="str">
        <f>_xlfn.CONCAT(V$3,$Q23,$V$4)</f>
        <v>CAL-TR-NEW</v>
      </c>
      <c r="W23" s="841" t="str">
        <f t="shared" si="19"/>
        <v>Calibration - Trilock, New</v>
      </c>
      <c r="X23" s="1172">
        <f t="shared" si="20"/>
        <v>40</v>
      </c>
      <c r="Y23" s="838"/>
      <c r="Z23" t="str">
        <f>_xlfn.CONCAT(Z$3,$Q23,$Z$4)</f>
        <v>CAL-TR-CUST</v>
      </c>
      <c r="AA23" s="841" t="str">
        <f t="shared" si="21"/>
        <v>Calibration - Trilock, Customer</v>
      </c>
      <c r="AB23" s="1172">
        <f t="shared" si="22"/>
        <v>60</v>
      </c>
      <c r="AD23" s="11">
        <f t="shared" si="23"/>
        <v>26</v>
      </c>
      <c r="AE23" s="11">
        <f t="shared" si="24"/>
        <v>31</v>
      </c>
    </row>
    <row r="24" spans="2:31" ht="15.75" x14ac:dyDescent="0.25">
      <c r="B24" s="2"/>
      <c r="C24" s="13"/>
      <c r="D24" s="13"/>
      <c r="E24" s="2"/>
      <c r="F24" s="13"/>
      <c r="I24" s="133"/>
      <c r="J24" s="288"/>
      <c r="K24" s="291"/>
      <c r="L24" s="35"/>
      <c r="M24" s="102"/>
      <c r="N24" s="507"/>
      <c r="O24" s="35"/>
      <c r="P24" s="849"/>
      <c r="Q24" s="13"/>
      <c r="R24" s="13"/>
      <c r="S24" s="849"/>
      <c r="T24" s="849"/>
      <c r="U24" s="849"/>
      <c r="V24"/>
      <c r="W24" s="3"/>
      <c r="X24" s="1172"/>
      <c r="Y24" s="838"/>
      <c r="Z24"/>
      <c r="AA24" s="3"/>
      <c r="AB24" s="1172"/>
    </row>
    <row r="25" spans="2:31" ht="15.75" x14ac:dyDescent="0.25">
      <c r="B25" s="2" t="s">
        <v>541</v>
      </c>
      <c r="C25" s="13"/>
      <c r="D25" s="13"/>
      <c r="E25" s="2" t="s">
        <v>540</v>
      </c>
      <c r="F25" s="13"/>
      <c r="I25" s="134" t="s">
        <v>621</v>
      </c>
      <c r="J25" s="288">
        <v>70</v>
      </c>
      <c r="K25" s="291">
        <v>90</v>
      </c>
      <c r="L25" s="35"/>
      <c r="M25" s="102" t="str">
        <f>V25</f>
        <v>CAL-PRG-NEW</v>
      </c>
      <c r="N25" s="507" t="str">
        <f t="shared" ref="N25" si="25">Z25</f>
        <v>CAL-PRG-CUST</v>
      </c>
      <c r="O25" s="35"/>
      <c r="P25" t="s">
        <v>929</v>
      </c>
      <c r="Q25" s="13" t="s">
        <v>942</v>
      </c>
      <c r="R25" s="13" t="s">
        <v>949</v>
      </c>
      <c r="S25" s="849" t="s">
        <v>558</v>
      </c>
      <c r="T25" s="849" t="s">
        <v>951</v>
      </c>
      <c r="U25" s="849"/>
      <c r="V25" t="str">
        <f>_xlfn.CONCAT(V$3,$Q25,$V$4)</f>
        <v>CAL-PRG-NEW</v>
      </c>
      <c r="W25" s="841" t="str">
        <f>_xlfn.CONCAT($W$3," ",$R25,", ",$S25)</f>
        <v>Calibration - Progressive, New</v>
      </c>
      <c r="X25" s="1172">
        <f>$J25</f>
        <v>70</v>
      </c>
      <c r="Y25" s="838"/>
      <c r="Z25" t="str">
        <f>_xlfn.CONCAT(Z$3,$Q25,$Z$4)</f>
        <v>CAL-PRG-CUST</v>
      </c>
      <c r="AA25" s="841" t="str">
        <f>_xlfn.CONCAT($W$3," ",$R25,", ",$T25)</f>
        <v>Calibration - Progressive, Customer</v>
      </c>
      <c r="AB25" s="1172">
        <f t="shared" ref="AB25" si="26">$K25</f>
        <v>90</v>
      </c>
      <c r="AD25" s="11">
        <f>LEN(W25)</f>
        <v>30</v>
      </c>
      <c r="AE25" s="11">
        <f>LEN(AA25)</f>
        <v>35</v>
      </c>
    </row>
    <row r="26" spans="2:31" ht="15.75" x14ac:dyDescent="0.25">
      <c r="B26" s="2"/>
      <c r="C26" s="13"/>
      <c r="D26" s="13"/>
      <c r="E26" s="1174"/>
      <c r="F26" s="13"/>
      <c r="I26" s="129"/>
      <c r="J26" s="288"/>
      <c r="K26" s="291"/>
      <c r="L26" s="35"/>
      <c r="M26" s="102"/>
      <c r="N26" s="507"/>
      <c r="O26" s="35"/>
      <c r="P26" s="849"/>
      <c r="Q26" s="13"/>
      <c r="R26" s="13"/>
      <c r="S26" s="849"/>
      <c r="T26" s="849"/>
      <c r="U26" s="849"/>
      <c r="V26"/>
      <c r="W26" s="3"/>
      <c r="X26" s="1172"/>
      <c r="Y26" s="838"/>
      <c r="Z26"/>
      <c r="AA26" s="3"/>
      <c r="AB26" s="1172"/>
    </row>
    <row r="27" spans="2:31" ht="15.75" x14ac:dyDescent="0.25">
      <c r="B27" s="47" t="s">
        <v>539</v>
      </c>
      <c r="C27" s="13"/>
      <c r="D27" s="13"/>
      <c r="E27" s="2" t="s">
        <v>538</v>
      </c>
      <c r="F27" s="13"/>
      <c r="I27" s="134" t="s">
        <v>218</v>
      </c>
      <c r="J27" s="288">
        <v>40</v>
      </c>
      <c r="K27" s="291">
        <v>60</v>
      </c>
      <c r="L27" s="35"/>
      <c r="M27" s="102" t="str">
        <f>V27</f>
        <v>CAL-MSD-NEW</v>
      </c>
      <c r="N27" s="507" t="str">
        <f t="shared" ref="N27" si="27">Z27</f>
        <v>CAL-MSD-CUST</v>
      </c>
      <c r="O27" s="35"/>
      <c r="P27" t="s">
        <v>929</v>
      </c>
      <c r="Q27" s="13" t="s">
        <v>943</v>
      </c>
      <c r="R27" s="13" t="s">
        <v>950</v>
      </c>
      <c r="S27" s="849" t="s">
        <v>558</v>
      </c>
      <c r="T27" s="849" t="s">
        <v>951</v>
      </c>
      <c r="U27" s="849"/>
      <c r="V27" t="str">
        <f>_xlfn.CONCAT(V$3,$Q27,$V$4)</f>
        <v>CAL-MSD-NEW</v>
      </c>
      <c r="W27" s="841" t="str">
        <f>_xlfn.CONCAT($W$3," ",$R27,", ",$S27)</f>
        <v>Calibration - Master Disc, New</v>
      </c>
      <c r="X27" s="1172">
        <f>$J27</f>
        <v>40</v>
      </c>
      <c r="Y27" s="838"/>
      <c r="Z27" t="str">
        <f>_xlfn.CONCAT(Z$3,$Q27,$Z$4)</f>
        <v>CAL-MSD-CUST</v>
      </c>
      <c r="AA27" s="841" t="str">
        <f>_xlfn.CONCAT($W$3," ",$R27,", ",$T27)</f>
        <v>Calibration - Master Disc, Customer</v>
      </c>
      <c r="AB27" s="1172">
        <f t="shared" ref="AB27" si="28">$K27</f>
        <v>60</v>
      </c>
      <c r="AD27" s="11">
        <f>LEN(W27)</f>
        <v>30</v>
      </c>
      <c r="AE27" s="11">
        <f>LEN(AA27)</f>
        <v>35</v>
      </c>
    </row>
    <row r="28" spans="2:31" ht="15.75" x14ac:dyDescent="0.25">
      <c r="B28" s="13"/>
      <c r="C28" s="13"/>
      <c r="D28" s="13"/>
      <c r="E28" s="13"/>
      <c r="F28" s="13"/>
      <c r="I28" s="129"/>
      <c r="J28" s="797"/>
      <c r="K28" s="798"/>
      <c r="L28" s="35"/>
      <c r="M28" s="102"/>
      <c r="N28" s="507"/>
      <c r="O28" s="35"/>
      <c r="P28" s="849"/>
      <c r="Q28" s="13"/>
      <c r="R28" s="13"/>
      <c r="S28" s="849"/>
      <c r="T28" s="849"/>
      <c r="U28" s="849"/>
      <c r="V28"/>
      <c r="W28" s="3"/>
      <c r="X28" s="1172"/>
      <c r="Y28" s="838"/>
      <c r="Z28"/>
      <c r="AB28" s="1172"/>
    </row>
    <row r="29" spans="2:31" ht="15.75" x14ac:dyDescent="0.25">
      <c r="B29" s="732" t="s">
        <v>929</v>
      </c>
      <c r="C29" s="13"/>
      <c r="D29" s="13"/>
      <c r="E29" s="2" t="s">
        <v>536</v>
      </c>
      <c r="F29" s="13"/>
      <c r="G29" s="31"/>
      <c r="I29" s="134" t="s">
        <v>493</v>
      </c>
      <c r="J29" s="288">
        <v>0</v>
      </c>
      <c r="K29" s="291">
        <v>50</v>
      </c>
      <c r="L29" s="35"/>
      <c r="M29" s="1171">
        <v>0</v>
      </c>
      <c r="N29" s="507" t="str">
        <f t="shared" ref="N29" si="29">Z29</f>
        <v>CAL-TMW-CUST</v>
      </c>
      <c r="O29" s="35"/>
      <c r="P29" t="s">
        <v>929</v>
      </c>
      <c r="Q29" s="13" t="s">
        <v>954</v>
      </c>
      <c r="R29" s="13" t="s">
        <v>1411</v>
      </c>
      <c r="S29" s="849"/>
      <c r="T29" s="849" t="s">
        <v>951</v>
      </c>
      <c r="U29" s="849"/>
      <c r="V29" s="1173"/>
      <c r="W29" s="1173"/>
      <c r="X29" s="1173"/>
      <c r="Y29" s="838"/>
      <c r="Z29" t="str">
        <f>_xlfn.CONCAT(Z$3,$Q29,$Z$4)</f>
        <v>CAL-TMW-CUST</v>
      </c>
      <c r="AA29" s="841" t="str">
        <f>_xlfn.CONCAT($W$3," ",$R29,", ",$T29)</f>
        <v>Calibration - Thread Wire Set, Customer</v>
      </c>
      <c r="AB29" s="1172">
        <f t="shared" ref="AB29" si="30">$K29</f>
        <v>50</v>
      </c>
      <c r="AE29" s="11">
        <f>LEN(AA29)</f>
        <v>39</v>
      </c>
    </row>
    <row r="30" spans="2:31" ht="5.0999999999999996" customHeight="1" thickBot="1" x14ac:dyDescent="0.3">
      <c r="E30" s="31"/>
      <c r="F30" s="31"/>
      <c r="G30" s="31"/>
      <c r="I30" s="343"/>
      <c r="J30" s="1195"/>
      <c r="K30" s="1196"/>
      <c r="L30" s="35"/>
      <c r="M30" s="135"/>
      <c r="N30" s="1197"/>
      <c r="O30" s="35"/>
      <c r="P30" s="9"/>
      <c r="S30" s="9"/>
      <c r="T30" s="9"/>
      <c r="U30" s="9"/>
      <c r="V30"/>
      <c r="W30" s="3"/>
      <c r="X30" s="1172"/>
      <c r="Y30" s="838"/>
      <c r="Z30"/>
      <c r="AB30" s="1172"/>
    </row>
    <row r="31" spans="2:31" ht="9.9499999999999993" customHeight="1" x14ac:dyDescent="0.25">
      <c r="I31" s="795"/>
      <c r="J31" s="35"/>
      <c r="K31" s="35"/>
      <c r="L31" s="35"/>
      <c r="O31" s="35"/>
      <c r="P31" s="9"/>
      <c r="S31" s="9"/>
      <c r="T31" s="9"/>
      <c r="U31" s="9"/>
      <c r="V31"/>
      <c r="W31" s="3"/>
      <c r="X31" s="1172"/>
      <c r="Y31" s="838"/>
      <c r="Z31"/>
      <c r="AB31" s="1172"/>
    </row>
    <row r="32" spans="2:31" s="72" customFormat="1" x14ac:dyDescent="0.25">
      <c r="B32" s="382"/>
      <c r="E32" s="1224" t="s">
        <v>929</v>
      </c>
      <c r="I32" s="92" t="s">
        <v>1399</v>
      </c>
      <c r="J32" s="249"/>
      <c r="M32" s="930" t="s">
        <v>944</v>
      </c>
      <c r="N32" s="288">
        <v>0</v>
      </c>
      <c r="P32" s="1225"/>
      <c r="Q32" s="1225"/>
      <c r="R32" s="1225"/>
      <c r="S32" s="1225"/>
      <c r="T32" s="1225"/>
      <c r="V32" s="400" t="s">
        <v>944</v>
      </c>
      <c r="W32" s="659" t="s">
        <v>946</v>
      </c>
      <c r="X32" s="1226">
        <v>10</v>
      </c>
      <c r="Y32" s="1227"/>
      <c r="Z32" s="1225"/>
      <c r="AA32" s="1225"/>
      <c r="AB32" s="1225"/>
      <c r="AD32" s="249">
        <f t="shared" ref="AD32:AD33" si="31">LEN(W32)</f>
        <v>40</v>
      </c>
      <c r="AE32" s="249"/>
    </row>
    <row r="33" spans="2:31" s="72" customFormat="1" x14ac:dyDescent="0.25">
      <c r="B33" s="382"/>
      <c r="E33" s="1228" t="s">
        <v>1392</v>
      </c>
      <c r="I33" s="92" t="s">
        <v>1316</v>
      </c>
      <c r="J33" s="249"/>
      <c r="M33" s="930" t="s">
        <v>945</v>
      </c>
      <c r="N33" s="288">
        <v>0</v>
      </c>
      <c r="P33" s="1225"/>
      <c r="Q33" s="1225"/>
      <c r="R33" s="1225"/>
      <c r="S33" s="1225"/>
      <c r="T33" s="1225"/>
      <c r="V33" s="400" t="s">
        <v>945</v>
      </c>
      <c r="W33" s="659" t="s">
        <v>1391</v>
      </c>
      <c r="X33" s="1226">
        <v>15</v>
      </c>
      <c r="Y33" s="1227"/>
      <c r="Z33" s="1225"/>
      <c r="AA33" s="1225"/>
      <c r="AB33" s="1225"/>
      <c r="AD33" s="249">
        <f t="shared" si="31"/>
        <v>40</v>
      </c>
      <c r="AE33" s="249"/>
    </row>
    <row r="34" spans="2:31" s="72" customFormat="1" collapsed="1" x14ac:dyDescent="0.25">
      <c r="B34" s="382"/>
      <c r="J34" s="249"/>
      <c r="N34" s="382"/>
      <c r="W34" s="382"/>
      <c r="X34" s="1227"/>
      <c r="Y34" s="1227"/>
      <c r="AB34" s="1226"/>
      <c r="AD34" s="249"/>
      <c r="AE34" s="249"/>
    </row>
    <row r="35" spans="2:31" s="72" customFormat="1" hidden="1" outlineLevel="1" x14ac:dyDescent="0.25">
      <c r="B35" s="382"/>
      <c r="J35" s="249"/>
      <c r="N35" s="382"/>
      <c r="W35" s="382"/>
      <c r="X35" s="1227"/>
      <c r="Y35" s="1227"/>
      <c r="AB35" s="1226"/>
      <c r="AD35" s="249"/>
      <c r="AE35" s="249"/>
    </row>
    <row r="36" spans="2:31" s="72" customFormat="1" hidden="1" outlineLevel="1" x14ac:dyDescent="0.25">
      <c r="B36" s="382"/>
      <c r="J36" s="127" t="str">
        <f>J$7</f>
        <v>New Product</v>
      </c>
      <c r="K36" s="127" t="str">
        <f>K$7</f>
        <v>Customer Property</v>
      </c>
      <c r="L36" s="1229"/>
      <c r="M36" s="127" t="str">
        <f>M$7</f>
        <v>New Product</v>
      </c>
      <c r="N36" s="127" t="str">
        <f>N$7</f>
        <v>Customer Property</v>
      </c>
      <c r="W36" s="382"/>
      <c r="X36" s="1227"/>
      <c r="Y36" s="1227"/>
      <c r="AB36" s="1226"/>
      <c r="AD36" s="249"/>
      <c r="AE36" s="249"/>
    </row>
    <row r="37" spans="2:31" s="72" customFormat="1" ht="6" hidden="1" customHeight="1" outlineLevel="1" x14ac:dyDescent="0.25">
      <c r="B37" s="382"/>
      <c r="J37" s="127"/>
      <c r="K37" s="127"/>
      <c r="M37" s="127"/>
      <c r="N37" s="127"/>
      <c r="W37" s="382"/>
      <c r="X37" s="1227"/>
      <c r="Y37" s="1227"/>
      <c r="AB37" s="1226"/>
      <c r="AD37" s="249"/>
      <c r="AE37" s="249"/>
    </row>
    <row r="38" spans="2:31" ht="15.75" hidden="1" outlineLevel="1" x14ac:dyDescent="0.25">
      <c r="I38" s="17" t="s">
        <v>1402</v>
      </c>
      <c r="J38" s="288">
        <v>300</v>
      </c>
      <c r="K38" s="288">
        <v>375</v>
      </c>
      <c r="M38" s="11" t="s">
        <v>1403</v>
      </c>
      <c r="N38" s="11" t="s">
        <v>1404</v>
      </c>
      <c r="P38" s="9"/>
      <c r="S38" s="9"/>
      <c r="T38" s="9"/>
      <c r="U38" s="9"/>
      <c r="AB38" s="12"/>
    </row>
    <row r="39" spans="2:31" hidden="1" outlineLevel="1" x14ac:dyDescent="0.25">
      <c r="AB39" s="12"/>
    </row>
    <row r="40" spans="2:31" hidden="1" outlineLevel="1" x14ac:dyDescent="0.25">
      <c r="D40" s="794" t="s">
        <v>677</v>
      </c>
      <c r="AB40" s="12"/>
    </row>
    <row r="41" spans="2:31" hidden="1" outlineLevel="1" x14ac:dyDescent="0.25">
      <c r="B41" s="54">
        <v>5.0000000000000001E-3</v>
      </c>
      <c r="C41" s="54">
        <v>3.5000000000000003E-2</v>
      </c>
      <c r="D41" s="801" t="str">
        <f>_xlfn.CONCAT(TEXT($B41,"#.000#"),"""","  -  ",TEXT($C41,"#.000#"),"""")</f>
        <v>.005"  -  .035"</v>
      </c>
      <c r="I41" t="s">
        <v>1410</v>
      </c>
      <c r="AB41" s="12"/>
    </row>
    <row r="42" spans="2:31" hidden="1" outlineLevel="1" x14ac:dyDescent="0.25">
      <c r="B42" s="54">
        <v>3.5099999999999999E-2</v>
      </c>
      <c r="C42" s="54">
        <v>4</v>
      </c>
      <c r="D42" s="801" t="str">
        <f>_xlfn.CONCAT(TEXT($B42,"#.000#"),"""","  -  ",TEXT($C42,"#.000#"),"""")</f>
        <v>.0351"  -  4.000"</v>
      </c>
      <c r="AB42" s="12"/>
    </row>
    <row r="43" spans="2:31" hidden="1" outlineLevel="1" x14ac:dyDescent="0.25">
      <c r="B43" s="54"/>
      <c r="C43" s="54"/>
      <c r="D43" s="47"/>
      <c r="AB43" s="12"/>
    </row>
    <row r="44" spans="2:31" hidden="1" outlineLevel="1" x14ac:dyDescent="0.25">
      <c r="B44" s="54"/>
      <c r="C44" s="54"/>
      <c r="D44" s="794" t="s">
        <v>676</v>
      </c>
      <c r="AB44" s="12"/>
    </row>
    <row r="45" spans="2:31" hidden="1" outlineLevel="1" x14ac:dyDescent="0.25">
      <c r="B45" s="54">
        <v>0.04</v>
      </c>
      <c r="C45" s="54">
        <v>1</v>
      </c>
      <c r="D45" s="801" t="str">
        <f>_xlfn.CONCAT(TEXT($B45,"#.000#"),"""","  -  ",TEXT($C45,"#.000#"),"""")</f>
        <v>.040"  -  1.000"</v>
      </c>
      <c r="AB45" s="12"/>
    </row>
    <row r="46" spans="2:31" hidden="1" outlineLevel="1" x14ac:dyDescent="0.25">
      <c r="B46" s="54">
        <v>1.0001</v>
      </c>
      <c r="C46" s="54">
        <v>4</v>
      </c>
      <c r="D46" s="801" t="str">
        <f>_xlfn.CONCAT(TEXT($B46,"#.000#"),"""","  -  ",TEXT($C46,"#.000#"),"""")</f>
        <v>1.0001"  -  4.000"</v>
      </c>
      <c r="AB46" s="12"/>
    </row>
    <row r="47" spans="2:31" hidden="1" outlineLevel="1" x14ac:dyDescent="0.25">
      <c r="B47" s="54">
        <v>4.0000999999999998</v>
      </c>
      <c r="C47" s="54">
        <v>8.5</v>
      </c>
      <c r="D47" s="801" t="str">
        <f>_xlfn.CONCAT(TEXT($B47,"#.000#"),"""","  -  ",TEXT($C47,"#.000#"),"""")</f>
        <v>4.0001"  -  8.500"</v>
      </c>
      <c r="AB47" s="12"/>
    </row>
    <row r="48" spans="2:31" hidden="1" outlineLevel="1" x14ac:dyDescent="0.25">
      <c r="D48" s="47"/>
      <c r="AB48" s="12"/>
    </row>
    <row r="49" spans="2:28" hidden="1" outlineLevel="1" x14ac:dyDescent="0.25">
      <c r="D49" s="794" t="s">
        <v>678</v>
      </c>
      <c r="P49" s="54"/>
      <c r="Q49" s="54"/>
      <c r="R49" s="54"/>
      <c r="S49" s="54"/>
      <c r="T49" s="54"/>
      <c r="U49" s="54"/>
      <c r="AB49" s="12"/>
    </row>
    <row r="50" spans="2:28" hidden="1" outlineLevel="1" x14ac:dyDescent="0.25">
      <c r="D50" s="179" t="s">
        <v>679</v>
      </c>
      <c r="P50" s="54"/>
      <c r="Q50" s="54"/>
      <c r="R50" s="54"/>
      <c r="S50" s="54"/>
      <c r="T50" s="54"/>
      <c r="U50" s="54"/>
      <c r="AB50" s="12"/>
    </row>
    <row r="51" spans="2:28" hidden="1" outlineLevel="1" x14ac:dyDescent="0.25">
      <c r="P51" s="54"/>
      <c r="Q51" s="54"/>
      <c r="R51" s="54"/>
      <c r="S51" s="54"/>
      <c r="T51" s="54"/>
      <c r="U51" s="54"/>
      <c r="AB51" s="12"/>
    </row>
    <row r="52" spans="2:28" hidden="1" outlineLevel="1" x14ac:dyDescent="0.25"/>
    <row r="53" spans="2:28" hidden="1" outlineLevel="1" x14ac:dyDescent="0.25"/>
    <row r="54" spans="2:28" hidden="1" outlineLevel="1" x14ac:dyDescent="0.25">
      <c r="B54" s="13" t="s">
        <v>619</v>
      </c>
    </row>
    <row r="55" spans="2:28" hidden="1" outlineLevel="1" x14ac:dyDescent="0.25">
      <c r="B55" t="s">
        <v>928</v>
      </c>
    </row>
    <row r="56" spans="2:28" hidden="1" outlineLevel="1" x14ac:dyDescent="0.25">
      <c r="B56" t="s">
        <v>566</v>
      </c>
    </row>
    <row r="57" spans="2:28" hidden="1" outlineLevel="1" x14ac:dyDescent="0.25"/>
  </sheetData>
  <sheetProtection algorithmName="SHA-512" hashValue="ezRA3e01WPmIi3jksLPqUIpua8gIxxjheHEDESoiQQwELyc8Xq5gyiK0ibBPuGtrQo0Fh2m/+CyWREvbOyrK5w==" saltValue="Midmeg95hYqs05LAxLSFeA==" spinCount="100000" sheet="1" objects="1" scenarios="1"/>
  <conditionalFormatting sqref="B10:B13 E10:E13 B15:B17 E15:E17 B19 E19 B22:B27 E22:E27 E29">
    <cfRule type="expression" dxfId="36" priority="3">
      <formula>#REF!="y"</formula>
    </cfRule>
  </conditionalFormatting>
  <printOptions horizontalCentered="1"/>
  <pageMargins left="0.25" right="0.25" top="0.5" bottom="0.75" header="0.3" footer="0.3"/>
  <pageSetup scale="9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0F4E7-C639-4B04-BFFB-8C465829B3DB}">
  <sheetPr codeName="Sheet6">
    <outlinePr summaryBelow="0"/>
    <pageSetUpPr autoPageBreaks="0"/>
  </sheetPr>
  <dimension ref="B1:AI218"/>
  <sheetViews>
    <sheetView showGridLines="0" zoomScale="90" zoomScaleNormal="90" workbookViewId="0">
      <selection activeCell="Q79" sqref="Q79"/>
    </sheetView>
  </sheetViews>
  <sheetFormatPr defaultRowHeight="15" outlineLevelRow="1" outlineLevelCol="2" x14ac:dyDescent="0.25"/>
  <cols>
    <col min="1" max="1" width="2.7109375" customWidth="1"/>
    <col min="2" max="2" width="13.140625" hidden="1" customWidth="1" outlineLevel="2"/>
    <col min="3" max="4" width="12" hidden="1" customWidth="1" outlineLevel="2"/>
    <col min="5" max="7" width="9.42578125" hidden="1" customWidth="1" outlineLevel="2"/>
    <col min="8" max="8" width="10.85546875" hidden="1" customWidth="1" outlineLevel="2"/>
    <col min="9" max="9" width="12.28515625" hidden="1" customWidth="1" outlineLevel="2"/>
    <col min="10" max="11" width="11.28515625" hidden="1" customWidth="1" outlineLevel="2"/>
    <col min="12" max="12" width="11.28515625" style="18" hidden="1" customWidth="1" outlineLevel="2"/>
    <col min="13" max="14" width="9" hidden="1" customWidth="1" outlineLevel="2"/>
    <col min="15" max="16" width="2.7109375" hidden="1" customWidth="1" outlineLevel="2"/>
    <col min="17" max="17" width="18.7109375" customWidth="1" collapsed="1"/>
    <col min="18" max="20" width="18.7109375" customWidth="1"/>
    <col min="21" max="21" width="2.7109375" customWidth="1"/>
    <col min="22" max="25" width="18.7109375" customWidth="1"/>
    <col min="26" max="27" width="2.7109375" hidden="1" customWidth="1" outlineLevel="1"/>
    <col min="28" max="29" width="19.28515625" style="11" hidden="1" customWidth="1" outlineLevel="1"/>
    <col min="30" max="31" width="2.7109375" hidden="1" customWidth="1" outlineLevel="1"/>
    <col min="32" max="33" width="19.7109375" style="11" hidden="1" customWidth="1" outlineLevel="1"/>
    <col min="34" max="34" width="9.140625" hidden="1" customWidth="1" outlineLevel="1"/>
    <col min="35" max="35" width="9.140625" collapsed="1"/>
  </cols>
  <sheetData>
    <row r="1" spans="2:33" collapsed="1" x14ac:dyDescent="0.25"/>
    <row r="2" spans="2:33" hidden="1" outlineLevel="1" x14ac:dyDescent="0.25">
      <c r="AB2" s="18" t="s">
        <v>937</v>
      </c>
      <c r="AC2" s="18" t="s">
        <v>937</v>
      </c>
      <c r="AF2" s="18" t="s">
        <v>937</v>
      </c>
      <c r="AG2" s="18" t="s">
        <v>937</v>
      </c>
    </row>
    <row r="3" spans="2:33" hidden="1" outlineLevel="1" x14ac:dyDescent="0.25">
      <c r="AB3" s="1245" t="s">
        <v>970</v>
      </c>
      <c r="AC3" s="1245" t="s">
        <v>971</v>
      </c>
      <c r="AD3" s="658"/>
      <c r="AE3" s="658"/>
      <c r="AF3" s="1245" t="s">
        <v>970</v>
      </c>
      <c r="AG3" s="1245" t="s">
        <v>971</v>
      </c>
    </row>
    <row r="4" spans="2:33" s="1347" customFormat="1" ht="21" x14ac:dyDescent="0.35">
      <c r="B4" s="1346" t="s">
        <v>927</v>
      </c>
      <c r="L4" s="18"/>
      <c r="Q4" s="1348" t="s">
        <v>914</v>
      </c>
      <c r="V4" s="1348"/>
      <c r="AB4" s="11"/>
      <c r="AC4" s="11"/>
      <c r="AF4" s="11"/>
      <c r="AG4" s="11"/>
    </row>
    <row r="5" spans="2:33" ht="15.75" x14ac:dyDescent="0.25">
      <c r="B5" s="574"/>
      <c r="C5" s="574"/>
      <c r="Q5" s="9" t="s">
        <v>492</v>
      </c>
      <c r="V5" s="9"/>
    </row>
    <row r="6" spans="2:33" ht="15.75" thickBot="1" x14ac:dyDescent="0.3">
      <c r="B6" s="2"/>
      <c r="C6" s="2"/>
      <c r="Q6" s="17"/>
    </row>
    <row r="7" spans="2:33" s="658" customFormat="1" x14ac:dyDescent="0.25">
      <c r="B7" s="732" t="s">
        <v>886</v>
      </c>
      <c r="C7" s="702">
        <v>1E-3</v>
      </c>
      <c r="D7" s="725" t="s">
        <v>915</v>
      </c>
      <c r="E7" s="725"/>
      <c r="F7" s="734" t="s">
        <v>918</v>
      </c>
      <c r="G7" s="734" t="s">
        <v>919</v>
      </c>
      <c r="H7"/>
      <c r="I7" s="702" t="s">
        <v>887</v>
      </c>
      <c r="J7" s="702" t="s">
        <v>916</v>
      </c>
      <c r="K7"/>
      <c r="L7" s="18"/>
      <c r="M7" s="734" t="s">
        <v>918</v>
      </c>
      <c r="N7" s="734" t="s">
        <v>919</v>
      </c>
      <c r="O7"/>
      <c r="P7" s="705"/>
      <c r="Q7" s="592" t="str">
        <f>_xlfn.CONCAT($B7," (",(TEXT(C7,".000")),D7," Increments)")</f>
        <v>Inch Sets (.001" Increments)</v>
      </c>
      <c r="R7" s="595"/>
      <c r="S7" s="595"/>
      <c r="T7" s="683"/>
      <c r="V7" s="592" t="str">
        <f>_xlfn.CONCAT($I7," (",(TEXT(J7,".000"))," Increments)")</f>
        <v>Metric Sets (.02mm Increments)</v>
      </c>
      <c r="W7" s="595"/>
      <c r="X7" s="595"/>
      <c r="Y7" s="683"/>
      <c r="AB7" s="592" t="s">
        <v>1400</v>
      </c>
      <c r="AC7" s="593"/>
      <c r="AF7" s="592" t="s">
        <v>1400</v>
      </c>
      <c r="AG7" s="593"/>
    </row>
    <row r="8" spans="2:33" s="705" customFormat="1" x14ac:dyDescent="0.25">
      <c r="B8" s="1238"/>
      <c r="C8" s="1239"/>
      <c r="F8" s="1239"/>
      <c r="G8" s="1239"/>
      <c r="H8" s="72"/>
      <c r="I8" s="72"/>
      <c r="J8" s="72"/>
      <c r="K8" s="72"/>
      <c r="L8" s="930"/>
      <c r="M8" s="72"/>
      <c r="N8" s="72"/>
      <c r="O8" s="72"/>
      <c r="Q8" s="1234" t="s">
        <v>1408</v>
      </c>
      <c r="R8" s="1242" t="s">
        <v>3</v>
      </c>
      <c r="S8" s="1242" t="s">
        <v>558</v>
      </c>
      <c r="T8" s="1243" t="s">
        <v>564</v>
      </c>
      <c r="V8" s="1234" t="s">
        <v>1408</v>
      </c>
      <c r="W8" s="1242" t="s">
        <v>3</v>
      </c>
      <c r="X8" s="1242" t="s">
        <v>558</v>
      </c>
      <c r="Y8" s="1243" t="s">
        <v>564</v>
      </c>
      <c r="AB8" s="1249" t="s">
        <v>558</v>
      </c>
      <c r="AC8" s="1250" t="s">
        <v>564</v>
      </c>
      <c r="AF8" s="1249" t="s">
        <v>558</v>
      </c>
      <c r="AG8" s="1250" t="s">
        <v>564</v>
      </c>
    </row>
    <row r="9" spans="2:33" s="658" customFormat="1" x14ac:dyDescent="0.25">
      <c r="B9" s="702">
        <v>1.0999999999999999E-2</v>
      </c>
      <c r="C9" s="702">
        <v>0.06</v>
      </c>
      <c r="D9" s="658" t="str">
        <f t="shared" ref="D9:D44" si="0">LEFT(Q9,LEN(Q9)-1)</f>
        <v>M0</v>
      </c>
      <c r="E9" s="539">
        <v>50</v>
      </c>
      <c r="F9" s="733">
        <v>1.5</v>
      </c>
      <c r="G9" s="733">
        <v>2</v>
      </c>
      <c r="H9"/>
      <c r="I9" s="704">
        <v>0.22</v>
      </c>
      <c r="J9" s="704">
        <v>1.5</v>
      </c>
      <c r="K9" s="725" t="s">
        <v>512</v>
      </c>
      <c r="L9" s="539">
        <v>65</v>
      </c>
      <c r="M9" s="733">
        <v>1.7</v>
      </c>
      <c r="N9" s="733">
        <v>2.2000000000000002</v>
      </c>
      <c r="O9"/>
      <c r="Q9" s="727" t="s">
        <v>13</v>
      </c>
      <c r="R9" s="713" t="str">
        <f>_xlfn.CONCAT(TEXT($B9,"#.000#"),""""," - ",TEXT($C9,"#.000#"),"""")</f>
        <v>.011" - .060"</v>
      </c>
      <c r="S9" s="717">
        <f t="shared" ref="S9:S44" si="1">MROUND(PRODUCT($F9,$E9),10)</f>
        <v>80</v>
      </c>
      <c r="T9" s="710">
        <f t="shared" ref="T9:T44" si="2">MROUND(PRODUCT($G9,$E9),10)</f>
        <v>100</v>
      </c>
      <c r="V9" s="727" t="s">
        <v>15</v>
      </c>
      <c r="W9" s="713" t="str">
        <f>_xlfn.CONCAT(TEXT($I9,"0.00")," - ",TEXT($J9,"0.00"),"mm")</f>
        <v>0.22 - 1.50mm</v>
      </c>
      <c r="X9" s="717">
        <f>MROUND(PRODUCT($M9,$L9),10)</f>
        <v>110</v>
      </c>
      <c r="Y9" s="710">
        <f>MROUND(PRODUCT($N9,$L9),10)</f>
        <v>140</v>
      </c>
      <c r="AB9" s="1278" t="str">
        <f>_xlfn.CONCAT(AB$2,$D9,AB$3)</f>
        <v>CAL-M0-NEW</v>
      </c>
      <c r="AC9" s="1279" t="str">
        <f>_xlfn.CONCAT(AC$2,$D9,AC$3)</f>
        <v>CAL-M0-CUST</v>
      </c>
      <c r="AF9" s="1278" t="str">
        <f>_xlfn.CONCAT(AF$2,$K9,AF$3)</f>
        <v>CAL-M0MM-NEW</v>
      </c>
      <c r="AG9" s="1279" t="str">
        <f>_xlfn.CONCAT(AG$2,$K9,AG$3)</f>
        <v>CAL-M0MM-CUST</v>
      </c>
    </row>
    <row r="10" spans="2:33" s="658" customFormat="1" x14ac:dyDescent="0.25">
      <c r="B10" s="702">
        <v>1.0999999999999999E-2</v>
      </c>
      <c r="C10" s="702">
        <v>0.06</v>
      </c>
      <c r="D10" s="658" t="str">
        <f t="shared" si="0"/>
        <v>M0</v>
      </c>
      <c r="E10" s="539">
        <v>50</v>
      </c>
      <c r="F10" s="700">
        <f>F9</f>
        <v>1.5</v>
      </c>
      <c r="G10" s="700">
        <f>G9</f>
        <v>2</v>
      </c>
      <c r="H10"/>
      <c r="I10" s="704">
        <v>0.22</v>
      </c>
      <c r="J10" s="704">
        <v>1.5</v>
      </c>
      <c r="K10" s="725" t="s">
        <v>512</v>
      </c>
      <c r="L10" s="539">
        <v>65</v>
      </c>
      <c r="M10" s="700">
        <f>M9</f>
        <v>1.7</v>
      </c>
      <c r="N10" s="700">
        <f>N9</f>
        <v>2.2000000000000002</v>
      </c>
      <c r="O10"/>
      <c r="Q10" s="727" t="s">
        <v>16</v>
      </c>
      <c r="R10" s="713" t="str">
        <f t="shared" ref="R10:R44" si="3">_xlfn.CONCAT(TEXT($B10,"#.000#"),""""," - ",TEXT($C10,"#.000#"),"""")</f>
        <v>.011" - .060"</v>
      </c>
      <c r="S10" s="717">
        <f t="shared" si="1"/>
        <v>80</v>
      </c>
      <c r="T10" s="710">
        <f t="shared" si="2"/>
        <v>100</v>
      </c>
      <c r="V10" s="727" t="s">
        <v>18</v>
      </c>
      <c r="W10" s="713" t="str">
        <f t="shared" ref="W10:W44" si="4">_xlfn.CONCAT(TEXT($I10,"0.00")," - ",TEXT($J10,"0.00"),"mm")</f>
        <v>0.22 - 1.50mm</v>
      </c>
      <c r="X10" s="717">
        <f t="shared" ref="X10:X44" si="5">MROUND(PRODUCT($M10,$L10),10)</f>
        <v>110</v>
      </c>
      <c r="Y10" s="710">
        <f t="shared" ref="Y10:Y44" si="6">MROUND(PRODUCT($N10,$L10),10)</f>
        <v>140</v>
      </c>
      <c r="AB10" s="1270"/>
      <c r="AC10" s="1271"/>
      <c r="AF10" s="1270"/>
      <c r="AG10" s="1271"/>
    </row>
    <row r="11" spans="2:33" s="658" customFormat="1" x14ac:dyDescent="0.25">
      <c r="B11" s="702">
        <v>1.15E-2</v>
      </c>
      <c r="C11" s="702">
        <v>6.0499999999999998E-2</v>
      </c>
      <c r="D11" s="658" t="str">
        <f t="shared" si="0"/>
        <v>M05</v>
      </c>
      <c r="E11" s="539">
        <v>50</v>
      </c>
      <c r="F11" s="700">
        <f t="shared" ref="F11:G26" si="7">F10</f>
        <v>1.5</v>
      </c>
      <c r="G11" s="700">
        <f t="shared" si="7"/>
        <v>2</v>
      </c>
      <c r="H11"/>
      <c r="I11" s="704">
        <v>0.23</v>
      </c>
      <c r="J11" s="704">
        <v>1.51</v>
      </c>
      <c r="K11" s="725" t="s">
        <v>513</v>
      </c>
      <c r="L11" s="539">
        <v>65</v>
      </c>
      <c r="M11" s="700">
        <f t="shared" ref="M11:N26" si="8">M10</f>
        <v>1.7</v>
      </c>
      <c r="N11" s="700">
        <f t="shared" si="8"/>
        <v>2.2000000000000002</v>
      </c>
      <c r="O11"/>
      <c r="Q11" s="711" t="s">
        <v>19</v>
      </c>
      <c r="R11" s="714" t="str">
        <f t="shared" si="3"/>
        <v>.0115" - .0605"</v>
      </c>
      <c r="S11" s="718">
        <f t="shared" si="1"/>
        <v>80</v>
      </c>
      <c r="T11" s="712">
        <f t="shared" si="2"/>
        <v>100</v>
      </c>
      <c r="V11" s="711" t="s">
        <v>20</v>
      </c>
      <c r="W11" s="714" t="str">
        <f t="shared" si="4"/>
        <v>0.23 - 1.51mm</v>
      </c>
      <c r="X11" s="718">
        <f t="shared" si="5"/>
        <v>110</v>
      </c>
      <c r="Y11" s="712">
        <f t="shared" si="6"/>
        <v>140</v>
      </c>
      <c r="AB11" s="1272" t="str">
        <f>_xlfn.CONCAT(AB$2,$D11,AB$3)</f>
        <v>CAL-M05-NEW</v>
      </c>
      <c r="AC11" s="1274" t="str">
        <f>_xlfn.CONCAT(AC$2,$D11,AC$3)</f>
        <v>CAL-M05-CUST</v>
      </c>
      <c r="AF11" s="1272" t="str">
        <f>_xlfn.CONCAT(AF$2,$K11,AF$3)</f>
        <v>CAL-M01MM-NEW</v>
      </c>
      <c r="AG11" s="1274" t="str">
        <f>_xlfn.CONCAT(AG$2,$K11,AG$3)</f>
        <v>CAL-M01MM-CUST</v>
      </c>
    </row>
    <row r="12" spans="2:33" s="658" customFormat="1" x14ac:dyDescent="0.25">
      <c r="B12" s="702">
        <v>1.15E-2</v>
      </c>
      <c r="C12" s="702">
        <v>6.0499999999999998E-2</v>
      </c>
      <c r="D12" s="658" t="str">
        <f t="shared" si="0"/>
        <v>M05</v>
      </c>
      <c r="E12" s="539">
        <v>50</v>
      </c>
      <c r="F12" s="700">
        <f t="shared" si="7"/>
        <v>1.5</v>
      </c>
      <c r="G12" s="700">
        <f t="shared" si="7"/>
        <v>2</v>
      </c>
      <c r="H12"/>
      <c r="I12" s="704">
        <v>0.23</v>
      </c>
      <c r="J12" s="704">
        <v>1.51</v>
      </c>
      <c r="K12" s="725" t="s">
        <v>513</v>
      </c>
      <c r="L12" s="539">
        <v>65</v>
      </c>
      <c r="M12" s="700">
        <f t="shared" si="8"/>
        <v>1.7</v>
      </c>
      <c r="N12" s="700">
        <f t="shared" si="8"/>
        <v>2.2000000000000002</v>
      </c>
      <c r="O12"/>
      <c r="Q12" s="728" t="s">
        <v>21</v>
      </c>
      <c r="R12" s="715" t="str">
        <f t="shared" si="3"/>
        <v>.0115" - .0605"</v>
      </c>
      <c r="S12" s="719">
        <f t="shared" si="1"/>
        <v>80</v>
      </c>
      <c r="T12" s="175">
        <f t="shared" si="2"/>
        <v>100</v>
      </c>
      <c r="V12" s="728" t="s">
        <v>22</v>
      </c>
      <c r="W12" s="715" t="str">
        <f t="shared" si="4"/>
        <v>0.23 - 1.51mm</v>
      </c>
      <c r="X12" s="719">
        <f t="shared" si="5"/>
        <v>110</v>
      </c>
      <c r="Y12" s="175">
        <f t="shared" si="6"/>
        <v>140</v>
      </c>
      <c r="AB12" s="1276"/>
      <c r="AC12" s="1277"/>
      <c r="AF12" s="1276"/>
      <c r="AG12" s="1277"/>
    </row>
    <row r="13" spans="2:33" s="658" customFormat="1" x14ac:dyDescent="0.25">
      <c r="B13" s="702">
        <v>1.0999999999999999E-2</v>
      </c>
      <c r="C13" s="702">
        <v>0.25</v>
      </c>
      <c r="D13" s="658" t="str">
        <f t="shared" si="0"/>
        <v>C10</v>
      </c>
      <c r="E13" s="539">
        <v>240</v>
      </c>
      <c r="F13" s="700">
        <f t="shared" si="7"/>
        <v>1.5</v>
      </c>
      <c r="G13" s="700">
        <f t="shared" si="7"/>
        <v>2</v>
      </c>
      <c r="H13"/>
      <c r="I13" s="704">
        <v>1.52</v>
      </c>
      <c r="J13" s="704">
        <v>7.7</v>
      </c>
      <c r="K13" s="725" t="s">
        <v>514</v>
      </c>
      <c r="L13" s="539">
        <v>310</v>
      </c>
      <c r="M13" s="700">
        <f t="shared" si="8"/>
        <v>1.7</v>
      </c>
      <c r="N13" s="700">
        <f t="shared" si="8"/>
        <v>2.2000000000000002</v>
      </c>
      <c r="O13"/>
      <c r="Q13" s="727" t="s">
        <v>23</v>
      </c>
      <c r="R13" s="713" t="str">
        <f t="shared" si="3"/>
        <v>.011" - .250"</v>
      </c>
      <c r="S13" s="717">
        <f t="shared" si="1"/>
        <v>360</v>
      </c>
      <c r="T13" s="710">
        <f t="shared" si="2"/>
        <v>480</v>
      </c>
      <c r="V13" s="727" t="s">
        <v>24</v>
      </c>
      <c r="W13" s="713" t="str">
        <f t="shared" si="4"/>
        <v>1.52 - 7.70mm</v>
      </c>
      <c r="X13" s="717">
        <f t="shared" si="5"/>
        <v>530</v>
      </c>
      <c r="Y13" s="710">
        <f t="shared" si="6"/>
        <v>680</v>
      </c>
      <c r="AB13" s="1270" t="str">
        <f>_xlfn.CONCAT(AB$2,$D13,AB$3)</f>
        <v>CAL-C10-NEW</v>
      </c>
      <c r="AC13" s="1271" t="str">
        <f>_xlfn.CONCAT(AC$2,$D13,AC$3)</f>
        <v>CAL-C10-CUST</v>
      </c>
      <c r="AF13" s="1270" t="str">
        <f>_xlfn.CONCAT(AF$2,$K13,AF$3)</f>
        <v>CAL-M1MM-NEW</v>
      </c>
      <c r="AG13" s="1271" t="str">
        <f>_xlfn.CONCAT(AG$2,$K13,AG$3)</f>
        <v>CAL-M1MM-CUST</v>
      </c>
    </row>
    <row r="14" spans="2:33" s="658" customFormat="1" x14ac:dyDescent="0.25">
      <c r="B14" s="702">
        <v>1.0999999999999999E-2</v>
      </c>
      <c r="C14" s="702">
        <v>0.25</v>
      </c>
      <c r="D14" s="658" t="str">
        <f t="shared" si="0"/>
        <v>C10</v>
      </c>
      <c r="E14" s="539">
        <v>240</v>
      </c>
      <c r="F14" s="700">
        <f t="shared" si="7"/>
        <v>1.5</v>
      </c>
      <c r="G14" s="700">
        <f t="shared" si="7"/>
        <v>2</v>
      </c>
      <c r="H14"/>
      <c r="I14" s="704">
        <v>1.52</v>
      </c>
      <c r="J14" s="704">
        <v>7.7</v>
      </c>
      <c r="K14" s="725" t="s">
        <v>514</v>
      </c>
      <c r="L14" s="539">
        <v>310</v>
      </c>
      <c r="M14" s="700">
        <f t="shared" si="8"/>
        <v>1.7</v>
      </c>
      <c r="N14" s="700">
        <f t="shared" si="8"/>
        <v>2.2000000000000002</v>
      </c>
      <c r="O14"/>
      <c r="Q14" s="727" t="s">
        <v>25</v>
      </c>
      <c r="R14" s="713" t="str">
        <f t="shared" si="3"/>
        <v>.011" - .250"</v>
      </c>
      <c r="S14" s="717">
        <f t="shared" si="1"/>
        <v>360</v>
      </c>
      <c r="T14" s="710">
        <f t="shared" si="2"/>
        <v>480</v>
      </c>
      <c r="V14" s="727" t="s">
        <v>26</v>
      </c>
      <c r="W14" s="713" t="str">
        <f t="shared" si="4"/>
        <v>1.52 - 7.70mm</v>
      </c>
      <c r="X14" s="717">
        <f t="shared" si="5"/>
        <v>530</v>
      </c>
      <c r="Y14" s="710">
        <f t="shared" si="6"/>
        <v>680</v>
      </c>
      <c r="AB14" s="1270"/>
      <c r="AC14" s="1271"/>
      <c r="AF14" s="1270"/>
      <c r="AG14" s="1271"/>
    </row>
    <row r="15" spans="2:33" s="658" customFormat="1" x14ac:dyDescent="0.25">
      <c r="B15" s="702">
        <v>1.15E-2</v>
      </c>
      <c r="C15" s="702">
        <v>0.2505</v>
      </c>
      <c r="D15" s="658" t="str">
        <f t="shared" si="0"/>
        <v>C105</v>
      </c>
      <c r="E15" s="539">
        <v>240</v>
      </c>
      <c r="F15" s="700">
        <f t="shared" si="7"/>
        <v>1.5</v>
      </c>
      <c r="G15" s="700">
        <f t="shared" si="7"/>
        <v>2</v>
      </c>
      <c r="H15"/>
      <c r="I15" s="704">
        <v>1.53</v>
      </c>
      <c r="J15" s="704">
        <v>7.71</v>
      </c>
      <c r="K15" s="725" t="s">
        <v>515</v>
      </c>
      <c r="L15" s="539">
        <v>310</v>
      </c>
      <c r="M15" s="700">
        <f t="shared" si="8"/>
        <v>1.7</v>
      </c>
      <c r="N15" s="700">
        <f t="shared" si="8"/>
        <v>2.2000000000000002</v>
      </c>
      <c r="O15"/>
      <c r="Q15" s="711" t="s">
        <v>27</v>
      </c>
      <c r="R15" s="714" t="str">
        <f t="shared" si="3"/>
        <v>.0115" - .2505"</v>
      </c>
      <c r="S15" s="718">
        <f t="shared" si="1"/>
        <v>360</v>
      </c>
      <c r="T15" s="712">
        <f t="shared" si="2"/>
        <v>480</v>
      </c>
      <c r="V15" s="711" t="s">
        <v>28</v>
      </c>
      <c r="W15" s="714" t="str">
        <f t="shared" si="4"/>
        <v>1.53 - 7.71mm</v>
      </c>
      <c r="X15" s="718">
        <f t="shared" si="5"/>
        <v>530</v>
      </c>
      <c r="Y15" s="712">
        <f t="shared" si="6"/>
        <v>680</v>
      </c>
      <c r="AB15" s="1272" t="str">
        <f>_xlfn.CONCAT(AB$2,$D15,AB$3)</f>
        <v>CAL-C105-NEW</v>
      </c>
      <c r="AC15" s="1274" t="str">
        <f>_xlfn.CONCAT(AC$2,$D15,AC$3)</f>
        <v>CAL-C105-CUST</v>
      </c>
      <c r="AF15" s="1272" t="str">
        <f>_xlfn.CONCAT(AF$2,$K15,AF$3)</f>
        <v>CAL-M11MM-NEW</v>
      </c>
      <c r="AG15" s="1274" t="str">
        <f>_xlfn.CONCAT(AG$2,$K15,AG$3)</f>
        <v>CAL-M11MM-CUST</v>
      </c>
    </row>
    <row r="16" spans="2:33" s="658" customFormat="1" x14ac:dyDescent="0.25">
      <c r="B16" s="702">
        <v>1.15E-2</v>
      </c>
      <c r="C16" s="702">
        <v>0.2505</v>
      </c>
      <c r="D16" s="658" t="str">
        <f t="shared" si="0"/>
        <v>C105</v>
      </c>
      <c r="E16" s="539">
        <v>240</v>
      </c>
      <c r="F16" s="700">
        <f t="shared" si="7"/>
        <v>1.5</v>
      </c>
      <c r="G16" s="700">
        <f t="shared" si="7"/>
        <v>2</v>
      </c>
      <c r="H16"/>
      <c r="I16" s="704">
        <v>1.53</v>
      </c>
      <c r="J16" s="704">
        <v>7.71</v>
      </c>
      <c r="K16" s="725" t="s">
        <v>515</v>
      </c>
      <c r="L16" s="539">
        <v>310</v>
      </c>
      <c r="M16" s="700">
        <f t="shared" si="8"/>
        <v>1.7</v>
      </c>
      <c r="N16" s="700">
        <f t="shared" si="8"/>
        <v>2.2000000000000002</v>
      </c>
      <c r="O16"/>
      <c r="Q16" s="728" t="s">
        <v>29</v>
      </c>
      <c r="R16" s="715" t="str">
        <f t="shared" si="3"/>
        <v>.0115" - .2505"</v>
      </c>
      <c r="S16" s="719">
        <f t="shared" si="1"/>
        <v>360</v>
      </c>
      <c r="T16" s="175">
        <f t="shared" si="2"/>
        <v>480</v>
      </c>
      <c r="V16" s="728" t="s">
        <v>30</v>
      </c>
      <c r="W16" s="715" t="str">
        <f t="shared" si="4"/>
        <v>1.53 - 7.71mm</v>
      </c>
      <c r="X16" s="719">
        <f t="shared" si="5"/>
        <v>530</v>
      </c>
      <c r="Y16" s="175">
        <f t="shared" si="6"/>
        <v>680</v>
      </c>
      <c r="AB16" s="1276"/>
      <c r="AC16" s="1277"/>
      <c r="AF16" s="1276"/>
      <c r="AG16" s="1277"/>
    </row>
    <row r="17" spans="2:33" s="658" customFormat="1" x14ac:dyDescent="0.25">
      <c r="B17" s="702">
        <v>6.0999999999999999E-2</v>
      </c>
      <c r="C17" s="702">
        <v>0.25</v>
      </c>
      <c r="D17" s="658" t="str">
        <f t="shared" si="0"/>
        <v>M1</v>
      </c>
      <c r="E17" s="539">
        <v>190</v>
      </c>
      <c r="F17" s="700">
        <f t="shared" si="7"/>
        <v>1.5</v>
      </c>
      <c r="G17" s="700">
        <f t="shared" si="7"/>
        <v>2</v>
      </c>
      <c r="H17"/>
      <c r="I17" s="704">
        <v>7.72</v>
      </c>
      <c r="J17" s="704">
        <v>12.7</v>
      </c>
      <c r="K17" s="725" t="s">
        <v>516</v>
      </c>
      <c r="L17" s="539">
        <v>250</v>
      </c>
      <c r="M17" s="700">
        <f t="shared" si="8"/>
        <v>1.7</v>
      </c>
      <c r="N17" s="700">
        <f t="shared" si="8"/>
        <v>2.2000000000000002</v>
      </c>
      <c r="O17"/>
      <c r="Q17" s="727" t="s">
        <v>31</v>
      </c>
      <c r="R17" s="713" t="str">
        <f t="shared" si="3"/>
        <v>.061" - .250"</v>
      </c>
      <c r="S17" s="717">
        <f t="shared" si="1"/>
        <v>290</v>
      </c>
      <c r="T17" s="710">
        <f t="shared" si="2"/>
        <v>380</v>
      </c>
      <c r="V17" s="727" t="s">
        <v>32</v>
      </c>
      <c r="W17" s="713" t="str">
        <f t="shared" si="4"/>
        <v>7.72 - 12.70mm</v>
      </c>
      <c r="X17" s="717">
        <f t="shared" si="5"/>
        <v>430</v>
      </c>
      <c r="Y17" s="710">
        <f t="shared" si="6"/>
        <v>550</v>
      </c>
      <c r="AB17" s="1270" t="str">
        <f>_xlfn.CONCAT(AB$2,$D17,AB$3)</f>
        <v>CAL-M1-NEW</v>
      </c>
      <c r="AC17" s="1271" t="str">
        <f>_xlfn.CONCAT(AC$2,$D17,AC$3)</f>
        <v>CAL-M1-CUST</v>
      </c>
      <c r="AF17" s="1270" t="str">
        <f>_xlfn.CONCAT(AF$2,$K17,AF$3)</f>
        <v>CAL-M2MM-NEW</v>
      </c>
      <c r="AG17" s="1271" t="str">
        <f>_xlfn.CONCAT(AG$2,$K17,AG$3)</f>
        <v>CAL-M2MM-CUST</v>
      </c>
    </row>
    <row r="18" spans="2:33" s="658" customFormat="1" x14ac:dyDescent="0.25">
      <c r="B18" s="702">
        <v>6.0999999999999999E-2</v>
      </c>
      <c r="C18" s="702">
        <v>0.25</v>
      </c>
      <c r="D18" s="658" t="str">
        <f t="shared" si="0"/>
        <v>M1</v>
      </c>
      <c r="E18" s="539">
        <v>190</v>
      </c>
      <c r="F18" s="700">
        <f t="shared" si="7"/>
        <v>1.5</v>
      </c>
      <c r="G18" s="700">
        <f t="shared" si="7"/>
        <v>2</v>
      </c>
      <c r="H18"/>
      <c r="I18" s="704">
        <v>7.72</v>
      </c>
      <c r="J18" s="704">
        <v>12.7</v>
      </c>
      <c r="K18" s="725" t="s">
        <v>516</v>
      </c>
      <c r="L18" s="539">
        <v>250</v>
      </c>
      <c r="M18" s="700">
        <f t="shared" si="8"/>
        <v>1.7</v>
      </c>
      <c r="N18" s="700">
        <f t="shared" si="8"/>
        <v>2.2000000000000002</v>
      </c>
      <c r="O18"/>
      <c r="Q18" s="727" t="s">
        <v>33</v>
      </c>
      <c r="R18" s="713" t="str">
        <f t="shared" si="3"/>
        <v>.061" - .250"</v>
      </c>
      <c r="S18" s="717">
        <f t="shared" si="1"/>
        <v>290</v>
      </c>
      <c r="T18" s="710">
        <f t="shared" si="2"/>
        <v>380</v>
      </c>
      <c r="V18" s="727" t="s">
        <v>34</v>
      </c>
      <c r="W18" s="713" t="str">
        <f t="shared" si="4"/>
        <v>7.72 - 12.70mm</v>
      </c>
      <c r="X18" s="717">
        <f t="shared" si="5"/>
        <v>430</v>
      </c>
      <c r="Y18" s="710">
        <f t="shared" si="6"/>
        <v>550</v>
      </c>
      <c r="AB18" s="1270"/>
      <c r="AC18" s="1271"/>
      <c r="AF18" s="1270"/>
      <c r="AG18" s="1271"/>
    </row>
    <row r="19" spans="2:33" s="658" customFormat="1" x14ac:dyDescent="0.25">
      <c r="B19" s="702">
        <v>6.1499999999999999E-2</v>
      </c>
      <c r="C19" s="702">
        <v>0.2505</v>
      </c>
      <c r="D19" s="658" t="str">
        <f t="shared" si="0"/>
        <v>M15</v>
      </c>
      <c r="E19" s="539">
        <v>190</v>
      </c>
      <c r="F19" s="700">
        <f t="shared" si="7"/>
        <v>1.5</v>
      </c>
      <c r="G19" s="700">
        <f t="shared" si="7"/>
        <v>2</v>
      </c>
      <c r="H19"/>
      <c r="I19" s="704">
        <v>7.73</v>
      </c>
      <c r="J19" s="704">
        <v>12.71</v>
      </c>
      <c r="K19" s="725" t="s">
        <v>517</v>
      </c>
      <c r="L19" s="539">
        <v>250</v>
      </c>
      <c r="M19" s="700">
        <f t="shared" si="8"/>
        <v>1.7</v>
      </c>
      <c r="N19" s="700">
        <f t="shared" si="8"/>
        <v>2.2000000000000002</v>
      </c>
      <c r="O19"/>
      <c r="Q19" s="711" t="s">
        <v>35</v>
      </c>
      <c r="R19" s="714" t="str">
        <f t="shared" si="3"/>
        <v>.0615" - .2505"</v>
      </c>
      <c r="S19" s="718">
        <f t="shared" si="1"/>
        <v>290</v>
      </c>
      <c r="T19" s="712">
        <f t="shared" si="2"/>
        <v>380</v>
      </c>
      <c r="V19" s="711" t="s">
        <v>36</v>
      </c>
      <c r="W19" s="714" t="str">
        <f t="shared" si="4"/>
        <v>7.73 - 12.71mm</v>
      </c>
      <c r="X19" s="718">
        <f t="shared" si="5"/>
        <v>430</v>
      </c>
      <c r="Y19" s="712">
        <f t="shared" si="6"/>
        <v>550</v>
      </c>
      <c r="AB19" s="1272" t="str">
        <f>_xlfn.CONCAT(AB$2,$D19,AB$3)</f>
        <v>CAL-M15-NEW</v>
      </c>
      <c r="AC19" s="1274" t="str">
        <f>_xlfn.CONCAT(AC$2,$D19,AC$3)</f>
        <v>CAL-M15-CUST</v>
      </c>
      <c r="AF19" s="1272" t="str">
        <f>_xlfn.CONCAT(AF$2,$K19,AF$3)</f>
        <v>CAL-M21MM-NEW</v>
      </c>
      <c r="AG19" s="1274" t="str">
        <f>_xlfn.CONCAT(AG$2,$K19,AG$3)</f>
        <v>CAL-M21MM-CUST</v>
      </c>
    </row>
    <row r="20" spans="2:33" s="658" customFormat="1" x14ac:dyDescent="0.25">
      <c r="B20" s="702">
        <v>6.1499999999999999E-2</v>
      </c>
      <c r="C20" s="702">
        <v>0.2505</v>
      </c>
      <c r="D20" s="658" t="str">
        <f t="shared" si="0"/>
        <v>M15</v>
      </c>
      <c r="E20" s="539">
        <v>190</v>
      </c>
      <c r="F20" s="700">
        <f t="shared" si="7"/>
        <v>1.5</v>
      </c>
      <c r="G20" s="700">
        <f t="shared" si="7"/>
        <v>2</v>
      </c>
      <c r="H20"/>
      <c r="I20" s="704">
        <v>7.73</v>
      </c>
      <c r="J20" s="704">
        <v>12.71</v>
      </c>
      <c r="K20" s="725" t="s">
        <v>517</v>
      </c>
      <c r="L20" s="539">
        <v>250</v>
      </c>
      <c r="M20" s="700">
        <f t="shared" si="8"/>
        <v>1.7</v>
      </c>
      <c r="N20" s="700">
        <f t="shared" si="8"/>
        <v>2.2000000000000002</v>
      </c>
      <c r="O20"/>
      <c r="Q20" s="728" t="s">
        <v>37</v>
      </c>
      <c r="R20" s="715" t="str">
        <f t="shared" si="3"/>
        <v>.0615" - .2505"</v>
      </c>
      <c r="S20" s="719">
        <f t="shared" si="1"/>
        <v>290</v>
      </c>
      <c r="T20" s="175">
        <f t="shared" si="2"/>
        <v>380</v>
      </c>
      <c r="V20" s="728" t="s">
        <v>38</v>
      </c>
      <c r="W20" s="715" t="str">
        <f t="shared" si="4"/>
        <v>7.73 - 12.71mm</v>
      </c>
      <c r="X20" s="719">
        <f t="shared" si="5"/>
        <v>430</v>
      </c>
      <c r="Y20" s="175">
        <f t="shared" si="6"/>
        <v>550</v>
      </c>
      <c r="AB20" s="1276"/>
      <c r="AC20" s="1277"/>
      <c r="AF20" s="1276"/>
      <c r="AG20" s="1277"/>
    </row>
    <row r="21" spans="2:33" s="658" customFormat="1" x14ac:dyDescent="0.25">
      <c r="B21" s="702">
        <v>0.251</v>
      </c>
      <c r="C21" s="702">
        <v>0.5</v>
      </c>
      <c r="D21" s="658" t="str">
        <f t="shared" si="0"/>
        <v>M2</v>
      </c>
      <c r="E21" s="539">
        <v>250</v>
      </c>
      <c r="F21" s="700">
        <f t="shared" si="7"/>
        <v>1.5</v>
      </c>
      <c r="G21" s="700">
        <f t="shared" si="7"/>
        <v>2</v>
      </c>
      <c r="H21"/>
      <c r="I21" s="704">
        <v>12.72</v>
      </c>
      <c r="J21" s="704">
        <v>15.3</v>
      </c>
      <c r="K21" s="725" t="s">
        <v>518</v>
      </c>
      <c r="L21" s="539">
        <v>130</v>
      </c>
      <c r="M21" s="700">
        <f t="shared" si="8"/>
        <v>1.7</v>
      </c>
      <c r="N21" s="700">
        <f t="shared" si="8"/>
        <v>2.2000000000000002</v>
      </c>
      <c r="O21"/>
      <c r="Q21" s="727" t="s">
        <v>39</v>
      </c>
      <c r="R21" s="713" t="str">
        <f t="shared" si="3"/>
        <v>.251" - .500"</v>
      </c>
      <c r="S21" s="717">
        <f t="shared" si="1"/>
        <v>380</v>
      </c>
      <c r="T21" s="710">
        <f t="shared" si="2"/>
        <v>500</v>
      </c>
      <c r="V21" s="727" t="s">
        <v>40</v>
      </c>
      <c r="W21" s="713" t="str">
        <f t="shared" si="4"/>
        <v>12.72 - 15.30mm</v>
      </c>
      <c r="X21" s="717">
        <f t="shared" si="5"/>
        <v>220</v>
      </c>
      <c r="Y21" s="710">
        <f t="shared" si="6"/>
        <v>290</v>
      </c>
      <c r="AB21" s="1270" t="str">
        <f>_xlfn.CONCAT(AB$2,$D21,AB$3)</f>
        <v>CAL-M2-NEW</v>
      </c>
      <c r="AC21" s="1271" t="str">
        <f>_xlfn.CONCAT(AC$2,$D21,AC$3)</f>
        <v>CAL-M2-CUST</v>
      </c>
      <c r="AF21" s="1270" t="str">
        <f>_xlfn.CONCAT(AF$2,$K21,AF$3)</f>
        <v>CAL-M3MM-NEW</v>
      </c>
      <c r="AG21" s="1271" t="str">
        <f>_xlfn.CONCAT(AG$2,$K21,AG$3)</f>
        <v>CAL-M3MM-CUST</v>
      </c>
    </row>
    <row r="22" spans="2:33" s="658" customFormat="1" x14ac:dyDescent="0.25">
      <c r="B22" s="702">
        <v>0.251</v>
      </c>
      <c r="C22" s="702">
        <v>0.5</v>
      </c>
      <c r="D22" s="658" t="str">
        <f t="shared" si="0"/>
        <v>M2</v>
      </c>
      <c r="E22" s="539">
        <v>250</v>
      </c>
      <c r="F22" s="700">
        <f t="shared" si="7"/>
        <v>1.5</v>
      </c>
      <c r="G22" s="700">
        <f t="shared" si="7"/>
        <v>2</v>
      </c>
      <c r="H22"/>
      <c r="I22" s="704">
        <v>12.72</v>
      </c>
      <c r="J22" s="704">
        <v>15.3</v>
      </c>
      <c r="K22" s="725" t="s">
        <v>518</v>
      </c>
      <c r="L22" s="539">
        <v>130</v>
      </c>
      <c r="M22" s="700">
        <f t="shared" si="8"/>
        <v>1.7</v>
      </c>
      <c r="N22" s="700">
        <f t="shared" si="8"/>
        <v>2.2000000000000002</v>
      </c>
      <c r="O22"/>
      <c r="Q22" s="727" t="s">
        <v>41</v>
      </c>
      <c r="R22" s="713" t="str">
        <f t="shared" si="3"/>
        <v>.251" - .500"</v>
      </c>
      <c r="S22" s="717">
        <f t="shared" si="1"/>
        <v>380</v>
      </c>
      <c r="T22" s="710">
        <f t="shared" si="2"/>
        <v>500</v>
      </c>
      <c r="V22" s="727" t="s">
        <v>42</v>
      </c>
      <c r="W22" s="713" t="str">
        <f t="shared" si="4"/>
        <v>12.72 - 15.30mm</v>
      </c>
      <c r="X22" s="717">
        <f t="shared" si="5"/>
        <v>220</v>
      </c>
      <c r="Y22" s="710">
        <f t="shared" si="6"/>
        <v>290</v>
      </c>
      <c r="AB22" s="1270"/>
      <c r="AC22" s="1271"/>
      <c r="AF22" s="1270"/>
      <c r="AG22" s="1271"/>
    </row>
    <row r="23" spans="2:33" s="658" customFormat="1" x14ac:dyDescent="0.25">
      <c r="B23" s="702">
        <v>0.2515</v>
      </c>
      <c r="C23" s="702">
        <v>0.50049999999999994</v>
      </c>
      <c r="D23" s="658" t="str">
        <f t="shared" si="0"/>
        <v>M25</v>
      </c>
      <c r="E23" s="539">
        <v>250</v>
      </c>
      <c r="F23" s="700">
        <f t="shared" si="7"/>
        <v>1.5</v>
      </c>
      <c r="G23" s="700">
        <f t="shared" si="7"/>
        <v>2</v>
      </c>
      <c r="H23"/>
      <c r="I23" s="704">
        <v>12.73</v>
      </c>
      <c r="J23" s="704">
        <v>15.31</v>
      </c>
      <c r="K23" s="725" t="s">
        <v>519</v>
      </c>
      <c r="L23" s="539">
        <v>130</v>
      </c>
      <c r="M23" s="700">
        <f t="shared" si="8"/>
        <v>1.7</v>
      </c>
      <c r="N23" s="700">
        <f t="shared" si="8"/>
        <v>2.2000000000000002</v>
      </c>
      <c r="O23"/>
      <c r="Q23" s="711" t="s">
        <v>43</v>
      </c>
      <c r="R23" s="714" t="str">
        <f t="shared" si="3"/>
        <v>.2515" - .5005"</v>
      </c>
      <c r="S23" s="718">
        <f t="shared" si="1"/>
        <v>380</v>
      </c>
      <c r="T23" s="712">
        <f t="shared" si="2"/>
        <v>500</v>
      </c>
      <c r="V23" s="711" t="s">
        <v>44</v>
      </c>
      <c r="W23" s="714" t="str">
        <f t="shared" si="4"/>
        <v>12.73 - 15.31mm</v>
      </c>
      <c r="X23" s="718">
        <f t="shared" si="5"/>
        <v>220</v>
      </c>
      <c r="Y23" s="712">
        <f t="shared" si="6"/>
        <v>290</v>
      </c>
      <c r="AB23" s="1272" t="str">
        <f>_xlfn.CONCAT(AB$2,$D23,AB$3)</f>
        <v>CAL-M25-NEW</v>
      </c>
      <c r="AC23" s="1274" t="str">
        <f>_xlfn.CONCAT(AC$2,$D23,AC$3)</f>
        <v>CAL-M25-CUST</v>
      </c>
      <c r="AF23" s="1272" t="str">
        <f>_xlfn.CONCAT(AF$2,$K23,AF$3)</f>
        <v>CAL-M31MM-NEW</v>
      </c>
      <c r="AG23" s="1274" t="str">
        <f>_xlfn.CONCAT(AG$2,$K23,AG$3)</f>
        <v>CAL-M31MM-CUST</v>
      </c>
    </row>
    <row r="24" spans="2:33" s="658" customFormat="1" x14ac:dyDescent="0.25">
      <c r="B24" s="702">
        <v>0.2515</v>
      </c>
      <c r="C24" s="702">
        <v>0.50049999999999994</v>
      </c>
      <c r="D24" s="658" t="str">
        <f t="shared" si="0"/>
        <v>M25</v>
      </c>
      <c r="E24" s="539">
        <v>250</v>
      </c>
      <c r="F24" s="700">
        <f t="shared" si="7"/>
        <v>1.5</v>
      </c>
      <c r="G24" s="700">
        <f t="shared" si="7"/>
        <v>2</v>
      </c>
      <c r="H24"/>
      <c r="I24" s="704">
        <v>12.73</v>
      </c>
      <c r="J24" s="704">
        <v>15.31</v>
      </c>
      <c r="K24" s="725" t="s">
        <v>519</v>
      </c>
      <c r="L24" s="539">
        <v>130</v>
      </c>
      <c r="M24" s="700">
        <f t="shared" si="8"/>
        <v>1.7</v>
      </c>
      <c r="N24" s="700">
        <f t="shared" si="8"/>
        <v>2.2000000000000002</v>
      </c>
      <c r="O24"/>
      <c r="Q24" s="728" t="s">
        <v>45</v>
      </c>
      <c r="R24" s="715" t="str">
        <f t="shared" si="3"/>
        <v>.2515" - .5005"</v>
      </c>
      <c r="S24" s="719">
        <f t="shared" si="1"/>
        <v>380</v>
      </c>
      <c r="T24" s="175">
        <f t="shared" si="2"/>
        <v>500</v>
      </c>
      <c r="V24" s="728" t="s">
        <v>46</v>
      </c>
      <c r="W24" s="715" t="str">
        <f t="shared" si="4"/>
        <v>12.73 - 15.31mm</v>
      </c>
      <c r="X24" s="719">
        <f t="shared" si="5"/>
        <v>220</v>
      </c>
      <c r="Y24" s="175">
        <f t="shared" si="6"/>
        <v>290</v>
      </c>
      <c r="AB24" s="1276"/>
      <c r="AC24" s="1277"/>
      <c r="AF24" s="1276"/>
      <c r="AG24" s="1277"/>
    </row>
    <row r="25" spans="2:33" s="658" customFormat="1" x14ac:dyDescent="0.25">
      <c r="B25" s="702">
        <v>0.501</v>
      </c>
      <c r="C25" s="702">
        <v>0.625</v>
      </c>
      <c r="D25" s="658" t="str">
        <f t="shared" si="0"/>
        <v>M3</v>
      </c>
      <c r="E25" s="539">
        <v>125</v>
      </c>
      <c r="F25" s="700">
        <f t="shared" si="7"/>
        <v>1.5</v>
      </c>
      <c r="G25" s="700">
        <f t="shared" si="7"/>
        <v>2</v>
      </c>
      <c r="H25"/>
      <c r="I25" s="704">
        <v>15.32</v>
      </c>
      <c r="J25" s="704">
        <v>17.8</v>
      </c>
      <c r="K25" s="725" t="s">
        <v>520</v>
      </c>
      <c r="L25" s="539">
        <v>125</v>
      </c>
      <c r="M25" s="700">
        <f t="shared" si="8"/>
        <v>1.7</v>
      </c>
      <c r="N25" s="700">
        <f t="shared" si="8"/>
        <v>2.2000000000000002</v>
      </c>
      <c r="O25"/>
      <c r="Q25" s="727" t="s">
        <v>47</v>
      </c>
      <c r="R25" s="713" t="str">
        <f t="shared" si="3"/>
        <v>.501" - .625"</v>
      </c>
      <c r="S25" s="717">
        <f t="shared" si="1"/>
        <v>190</v>
      </c>
      <c r="T25" s="710">
        <f t="shared" si="2"/>
        <v>250</v>
      </c>
      <c r="V25" s="727" t="s">
        <v>48</v>
      </c>
      <c r="W25" s="713" t="str">
        <f t="shared" si="4"/>
        <v>15.32 - 17.80mm</v>
      </c>
      <c r="X25" s="717">
        <f t="shared" si="5"/>
        <v>210</v>
      </c>
      <c r="Y25" s="710">
        <f t="shared" si="6"/>
        <v>280</v>
      </c>
      <c r="AB25" s="1270" t="str">
        <f>_xlfn.CONCAT(AB$2,$D25,AB$3)</f>
        <v>CAL-M3-NEW</v>
      </c>
      <c r="AC25" s="1271" t="str">
        <f>_xlfn.CONCAT(AC$2,$D25,AC$3)</f>
        <v>CAL-M3-CUST</v>
      </c>
      <c r="AF25" s="1270" t="str">
        <f>_xlfn.CONCAT(AF$2,$K25,AF$3)</f>
        <v>CAL-M4MM-NEW</v>
      </c>
      <c r="AG25" s="1271" t="str">
        <f>_xlfn.CONCAT(AG$2,$K25,AG$3)</f>
        <v>CAL-M4MM-CUST</v>
      </c>
    </row>
    <row r="26" spans="2:33" s="658" customFormat="1" x14ac:dyDescent="0.25">
      <c r="B26" s="702">
        <v>0.501</v>
      </c>
      <c r="C26" s="702">
        <v>0.625</v>
      </c>
      <c r="D26" s="658" t="str">
        <f t="shared" si="0"/>
        <v>M3</v>
      </c>
      <c r="E26" s="539">
        <v>125</v>
      </c>
      <c r="F26" s="700">
        <f t="shared" si="7"/>
        <v>1.5</v>
      </c>
      <c r="G26" s="700">
        <f t="shared" si="7"/>
        <v>2</v>
      </c>
      <c r="H26"/>
      <c r="I26" s="704">
        <v>15.32</v>
      </c>
      <c r="J26" s="704">
        <v>17.8</v>
      </c>
      <c r="K26" s="725" t="s">
        <v>520</v>
      </c>
      <c r="L26" s="539">
        <v>125</v>
      </c>
      <c r="M26" s="700">
        <f t="shared" si="8"/>
        <v>1.7</v>
      </c>
      <c r="N26" s="700">
        <f t="shared" si="8"/>
        <v>2.2000000000000002</v>
      </c>
      <c r="O26"/>
      <c r="Q26" s="727" t="s">
        <v>49</v>
      </c>
      <c r="R26" s="713" t="str">
        <f t="shared" si="3"/>
        <v>.501" - .625"</v>
      </c>
      <c r="S26" s="717">
        <f t="shared" si="1"/>
        <v>190</v>
      </c>
      <c r="T26" s="710">
        <f t="shared" si="2"/>
        <v>250</v>
      </c>
      <c r="V26" s="727" t="s">
        <v>50</v>
      </c>
      <c r="W26" s="713" t="str">
        <f t="shared" si="4"/>
        <v>15.32 - 17.80mm</v>
      </c>
      <c r="X26" s="717">
        <f t="shared" si="5"/>
        <v>210</v>
      </c>
      <c r="Y26" s="710">
        <f t="shared" si="6"/>
        <v>280</v>
      </c>
      <c r="AB26" s="1270"/>
      <c r="AC26" s="1271"/>
      <c r="AF26" s="1270"/>
      <c r="AG26" s="1271"/>
    </row>
    <row r="27" spans="2:33" s="658" customFormat="1" x14ac:dyDescent="0.25">
      <c r="B27" s="702">
        <v>0.50149999999999995</v>
      </c>
      <c r="C27" s="702">
        <v>0.62549999999999994</v>
      </c>
      <c r="D27" s="658" t="str">
        <f t="shared" si="0"/>
        <v>M35</v>
      </c>
      <c r="E27" s="539">
        <v>125</v>
      </c>
      <c r="F27" s="700">
        <f t="shared" ref="F27:G42" si="9">F26</f>
        <v>1.5</v>
      </c>
      <c r="G27" s="700">
        <f t="shared" si="9"/>
        <v>2</v>
      </c>
      <c r="H27"/>
      <c r="I27" s="704">
        <v>15.33</v>
      </c>
      <c r="J27" s="704">
        <v>17.809999999999999</v>
      </c>
      <c r="K27" s="725" t="s">
        <v>521</v>
      </c>
      <c r="L27" s="539">
        <v>125</v>
      </c>
      <c r="M27" s="700">
        <f t="shared" ref="M27:N42" si="10">M26</f>
        <v>1.7</v>
      </c>
      <c r="N27" s="700">
        <f t="shared" si="10"/>
        <v>2.2000000000000002</v>
      </c>
      <c r="O27"/>
      <c r="Q27" s="711" t="s">
        <v>51</v>
      </c>
      <c r="R27" s="714" t="str">
        <f t="shared" si="3"/>
        <v>.5015" - .6255"</v>
      </c>
      <c r="S27" s="718">
        <f t="shared" si="1"/>
        <v>190</v>
      </c>
      <c r="T27" s="712">
        <f t="shared" si="2"/>
        <v>250</v>
      </c>
      <c r="V27" s="711" t="s">
        <v>52</v>
      </c>
      <c r="W27" s="714" t="str">
        <f t="shared" si="4"/>
        <v>15.33 - 17.81mm</v>
      </c>
      <c r="X27" s="718">
        <f t="shared" si="5"/>
        <v>210</v>
      </c>
      <c r="Y27" s="712">
        <f t="shared" si="6"/>
        <v>280</v>
      </c>
      <c r="AB27" s="1272" t="str">
        <f>_xlfn.CONCAT(AB$2,$D27,AB$3)</f>
        <v>CAL-M35-NEW</v>
      </c>
      <c r="AC27" s="1274" t="str">
        <f>_xlfn.CONCAT(AC$2,$D27,AC$3)</f>
        <v>CAL-M35-CUST</v>
      </c>
      <c r="AF27" s="1272" t="str">
        <f>_xlfn.CONCAT(AF$2,$K27,AF$3)</f>
        <v>CAL-M41MM-NEW</v>
      </c>
      <c r="AG27" s="1274" t="str">
        <f>_xlfn.CONCAT(AG$2,$K27,AG$3)</f>
        <v>CAL-M41MM-CUST</v>
      </c>
    </row>
    <row r="28" spans="2:33" s="658" customFormat="1" x14ac:dyDescent="0.25">
      <c r="B28" s="702">
        <v>0.50149999999999995</v>
      </c>
      <c r="C28" s="702">
        <v>0.62549999999999994</v>
      </c>
      <c r="D28" s="658" t="str">
        <f t="shared" si="0"/>
        <v>M35</v>
      </c>
      <c r="E28" s="539">
        <v>125</v>
      </c>
      <c r="F28" s="700">
        <f t="shared" si="9"/>
        <v>1.5</v>
      </c>
      <c r="G28" s="700">
        <f t="shared" si="9"/>
        <v>2</v>
      </c>
      <c r="H28"/>
      <c r="I28" s="704">
        <v>15.33</v>
      </c>
      <c r="J28" s="704">
        <v>17.809999999999999</v>
      </c>
      <c r="K28" s="725" t="s">
        <v>521</v>
      </c>
      <c r="L28" s="539">
        <v>125</v>
      </c>
      <c r="M28" s="700">
        <f t="shared" si="10"/>
        <v>1.7</v>
      </c>
      <c r="N28" s="700">
        <f t="shared" si="10"/>
        <v>2.2000000000000002</v>
      </c>
      <c r="O28"/>
      <c r="Q28" s="728" t="s">
        <v>53</v>
      </c>
      <c r="R28" s="715" t="str">
        <f t="shared" si="3"/>
        <v>.5015" - .6255"</v>
      </c>
      <c r="S28" s="719">
        <f t="shared" si="1"/>
        <v>190</v>
      </c>
      <c r="T28" s="175">
        <f t="shared" si="2"/>
        <v>250</v>
      </c>
      <c r="V28" s="728" t="s">
        <v>54</v>
      </c>
      <c r="W28" s="715" t="str">
        <f t="shared" si="4"/>
        <v>15.33 - 17.81mm</v>
      </c>
      <c r="X28" s="719">
        <f t="shared" si="5"/>
        <v>210</v>
      </c>
      <c r="Y28" s="175">
        <f t="shared" si="6"/>
        <v>280</v>
      </c>
      <c r="AB28" s="1276"/>
      <c r="AC28" s="1277"/>
      <c r="AF28" s="1276"/>
      <c r="AG28" s="1277"/>
    </row>
    <row r="29" spans="2:33" s="658" customFormat="1" x14ac:dyDescent="0.25">
      <c r="B29" s="702">
        <v>0.626</v>
      </c>
      <c r="C29" s="702">
        <v>0.75</v>
      </c>
      <c r="D29" s="658" t="str">
        <f t="shared" si="0"/>
        <v>M4</v>
      </c>
      <c r="E29" s="539">
        <v>125</v>
      </c>
      <c r="F29" s="700">
        <f t="shared" si="9"/>
        <v>1.5</v>
      </c>
      <c r="G29" s="700">
        <f t="shared" si="9"/>
        <v>2</v>
      </c>
      <c r="H29"/>
      <c r="I29" s="704">
        <v>17.82</v>
      </c>
      <c r="J29" s="704">
        <v>20.36</v>
      </c>
      <c r="K29" s="725" t="s">
        <v>522</v>
      </c>
      <c r="L29" s="539">
        <v>128</v>
      </c>
      <c r="M29" s="700">
        <f t="shared" si="10"/>
        <v>1.7</v>
      </c>
      <c r="N29" s="700">
        <f t="shared" si="10"/>
        <v>2.2000000000000002</v>
      </c>
      <c r="O29"/>
      <c r="Q29" s="727" t="s">
        <v>55</v>
      </c>
      <c r="R29" s="713" t="str">
        <f t="shared" si="3"/>
        <v>.626" - .750"</v>
      </c>
      <c r="S29" s="717">
        <f t="shared" si="1"/>
        <v>190</v>
      </c>
      <c r="T29" s="710">
        <f t="shared" si="2"/>
        <v>250</v>
      </c>
      <c r="V29" s="727" t="s">
        <v>56</v>
      </c>
      <c r="W29" s="713" t="str">
        <f t="shared" si="4"/>
        <v>17.82 - 20.36mm</v>
      </c>
      <c r="X29" s="717">
        <f t="shared" si="5"/>
        <v>220</v>
      </c>
      <c r="Y29" s="710">
        <f t="shared" si="6"/>
        <v>280</v>
      </c>
      <c r="AB29" s="1270" t="str">
        <f>_xlfn.CONCAT(AB$2,$D29,AB$3)</f>
        <v>CAL-M4-NEW</v>
      </c>
      <c r="AC29" s="1271" t="str">
        <f>_xlfn.CONCAT(AC$2,$D29,AC$3)</f>
        <v>CAL-M4-CUST</v>
      </c>
      <c r="AF29" s="1270" t="str">
        <f>_xlfn.CONCAT(AF$2,$K29,AF$3)</f>
        <v>CAL-M5MM-NEW</v>
      </c>
      <c r="AG29" s="1271" t="str">
        <f>_xlfn.CONCAT(AG$2,$K29,AG$3)</f>
        <v>CAL-M5MM-CUST</v>
      </c>
    </row>
    <row r="30" spans="2:33" s="658" customFormat="1" x14ac:dyDescent="0.25">
      <c r="B30" s="702">
        <v>0.626</v>
      </c>
      <c r="C30" s="702">
        <v>0.75</v>
      </c>
      <c r="D30" s="658" t="str">
        <f t="shared" si="0"/>
        <v>M4</v>
      </c>
      <c r="E30" s="539">
        <v>125</v>
      </c>
      <c r="F30" s="700">
        <f t="shared" si="9"/>
        <v>1.5</v>
      </c>
      <c r="G30" s="700">
        <f t="shared" si="9"/>
        <v>2</v>
      </c>
      <c r="H30"/>
      <c r="I30" s="704">
        <v>17.82</v>
      </c>
      <c r="J30" s="704">
        <v>20.36</v>
      </c>
      <c r="K30" s="725" t="s">
        <v>522</v>
      </c>
      <c r="L30" s="539">
        <v>128</v>
      </c>
      <c r="M30" s="700">
        <f t="shared" si="10"/>
        <v>1.7</v>
      </c>
      <c r="N30" s="700">
        <f t="shared" si="10"/>
        <v>2.2000000000000002</v>
      </c>
      <c r="O30"/>
      <c r="Q30" s="727" t="s">
        <v>57</v>
      </c>
      <c r="R30" s="713" t="str">
        <f t="shared" si="3"/>
        <v>.626" - .750"</v>
      </c>
      <c r="S30" s="717">
        <f t="shared" si="1"/>
        <v>190</v>
      </c>
      <c r="T30" s="710">
        <f t="shared" si="2"/>
        <v>250</v>
      </c>
      <c r="V30" s="727" t="s">
        <v>58</v>
      </c>
      <c r="W30" s="713" t="str">
        <f t="shared" si="4"/>
        <v>17.82 - 20.36mm</v>
      </c>
      <c r="X30" s="717">
        <f t="shared" si="5"/>
        <v>220</v>
      </c>
      <c r="Y30" s="710">
        <f t="shared" si="6"/>
        <v>280</v>
      </c>
      <c r="AB30" s="1270"/>
      <c r="AC30" s="1271"/>
      <c r="AF30" s="1270"/>
      <c r="AG30" s="1271"/>
    </row>
    <row r="31" spans="2:33" s="658" customFormat="1" x14ac:dyDescent="0.25">
      <c r="B31" s="702">
        <v>0.62649999999999995</v>
      </c>
      <c r="C31" s="702">
        <v>0.75049999999999994</v>
      </c>
      <c r="D31" s="658" t="str">
        <f t="shared" si="0"/>
        <v>M45</v>
      </c>
      <c r="E31" s="539">
        <v>125</v>
      </c>
      <c r="F31" s="700">
        <f t="shared" si="9"/>
        <v>1.5</v>
      </c>
      <c r="G31" s="700">
        <f t="shared" si="9"/>
        <v>2</v>
      </c>
      <c r="H31"/>
      <c r="I31" s="704">
        <v>17.829999999999998</v>
      </c>
      <c r="J31" s="704">
        <v>20.37</v>
      </c>
      <c r="K31" s="725" t="s">
        <v>523</v>
      </c>
      <c r="L31" s="539">
        <v>128</v>
      </c>
      <c r="M31" s="700">
        <f t="shared" si="10"/>
        <v>1.7</v>
      </c>
      <c r="N31" s="700">
        <f t="shared" si="10"/>
        <v>2.2000000000000002</v>
      </c>
      <c r="O31"/>
      <c r="Q31" s="711" t="s">
        <v>59</v>
      </c>
      <c r="R31" s="714" t="str">
        <f t="shared" si="3"/>
        <v>.6265" - .7505"</v>
      </c>
      <c r="S31" s="718">
        <f t="shared" si="1"/>
        <v>190</v>
      </c>
      <c r="T31" s="712">
        <f t="shared" si="2"/>
        <v>250</v>
      </c>
      <c r="V31" s="711" t="s">
        <v>60</v>
      </c>
      <c r="W31" s="714" t="str">
        <f t="shared" si="4"/>
        <v>17.83 - 20.37mm</v>
      </c>
      <c r="X31" s="718">
        <f t="shared" si="5"/>
        <v>220</v>
      </c>
      <c r="Y31" s="712">
        <f t="shared" si="6"/>
        <v>280</v>
      </c>
      <c r="AB31" s="1272" t="str">
        <f>_xlfn.CONCAT(AB$2,$D31,AB$3)</f>
        <v>CAL-M45-NEW</v>
      </c>
      <c r="AC31" s="1274" t="str">
        <f>_xlfn.CONCAT(AC$2,$D31,AC$3)</f>
        <v>CAL-M45-CUST</v>
      </c>
      <c r="AF31" s="1272" t="str">
        <f>_xlfn.CONCAT(AF$2,$K31,AF$3)</f>
        <v>CAL-M51MM-NEW</v>
      </c>
      <c r="AG31" s="1274" t="str">
        <f>_xlfn.CONCAT(AG$2,$K31,AG$3)</f>
        <v>CAL-M51MM-CUST</v>
      </c>
    </row>
    <row r="32" spans="2:33" s="658" customFormat="1" x14ac:dyDescent="0.25">
      <c r="B32" s="702">
        <v>0.62649999999999995</v>
      </c>
      <c r="C32" s="702">
        <v>0.75049999999999994</v>
      </c>
      <c r="D32" s="658" t="str">
        <f t="shared" si="0"/>
        <v>M45</v>
      </c>
      <c r="E32" s="539">
        <v>125</v>
      </c>
      <c r="F32" s="700">
        <f t="shared" si="9"/>
        <v>1.5</v>
      </c>
      <c r="G32" s="700">
        <f t="shared" si="9"/>
        <v>2</v>
      </c>
      <c r="H32"/>
      <c r="I32" s="704">
        <v>17.829999999999998</v>
      </c>
      <c r="J32" s="704">
        <v>20.37</v>
      </c>
      <c r="K32" s="725" t="s">
        <v>523</v>
      </c>
      <c r="L32" s="539">
        <v>128</v>
      </c>
      <c r="M32" s="700">
        <f t="shared" si="10"/>
        <v>1.7</v>
      </c>
      <c r="N32" s="700">
        <f t="shared" si="10"/>
        <v>2.2000000000000002</v>
      </c>
      <c r="O32"/>
      <c r="Q32" s="728" t="s">
        <v>61</v>
      </c>
      <c r="R32" s="715" t="str">
        <f t="shared" si="3"/>
        <v>.6265" - .7505"</v>
      </c>
      <c r="S32" s="719">
        <f t="shared" si="1"/>
        <v>190</v>
      </c>
      <c r="T32" s="175">
        <f t="shared" si="2"/>
        <v>250</v>
      </c>
      <c r="V32" s="728" t="s">
        <v>62</v>
      </c>
      <c r="W32" s="715" t="str">
        <f t="shared" si="4"/>
        <v>17.83 - 20.37mm</v>
      </c>
      <c r="X32" s="719">
        <f t="shared" si="5"/>
        <v>220</v>
      </c>
      <c r="Y32" s="175">
        <f t="shared" si="6"/>
        <v>280</v>
      </c>
      <c r="AB32" s="1276"/>
      <c r="AC32" s="1277"/>
      <c r="AF32" s="1276"/>
      <c r="AG32" s="1277"/>
    </row>
    <row r="33" spans="2:33" s="658" customFormat="1" x14ac:dyDescent="0.25">
      <c r="B33" s="702">
        <v>0.751</v>
      </c>
      <c r="C33" s="702">
        <v>0.83199999999999996</v>
      </c>
      <c r="D33" s="658" t="str">
        <f t="shared" si="0"/>
        <v>M5</v>
      </c>
      <c r="E33" s="539">
        <v>82</v>
      </c>
      <c r="F33" s="700">
        <f t="shared" si="9"/>
        <v>1.5</v>
      </c>
      <c r="G33" s="700">
        <f t="shared" si="9"/>
        <v>2</v>
      </c>
      <c r="H33"/>
      <c r="I33" s="704">
        <v>20.38</v>
      </c>
      <c r="J33" s="704">
        <v>22.04</v>
      </c>
      <c r="K33" s="725" t="s">
        <v>524</v>
      </c>
      <c r="L33" s="539">
        <v>84</v>
      </c>
      <c r="M33" s="700">
        <f t="shared" si="10"/>
        <v>1.7</v>
      </c>
      <c r="N33" s="700">
        <f t="shared" si="10"/>
        <v>2.2000000000000002</v>
      </c>
      <c r="O33"/>
      <c r="Q33" s="727" t="s">
        <v>63</v>
      </c>
      <c r="R33" s="713" t="str">
        <f t="shared" si="3"/>
        <v>.751" - .832"</v>
      </c>
      <c r="S33" s="717">
        <f t="shared" si="1"/>
        <v>120</v>
      </c>
      <c r="T33" s="710">
        <f t="shared" si="2"/>
        <v>160</v>
      </c>
      <c r="V33" s="727" t="s">
        <v>64</v>
      </c>
      <c r="W33" s="713" t="str">
        <f t="shared" si="4"/>
        <v>20.38 - 22.04mm</v>
      </c>
      <c r="X33" s="717">
        <f t="shared" si="5"/>
        <v>140</v>
      </c>
      <c r="Y33" s="710">
        <f>MROUND(PRODUCT($N33,$L33),10)</f>
        <v>180</v>
      </c>
      <c r="AB33" s="1270" t="str">
        <f>_xlfn.CONCAT(AB$2,$D33,AB$3)</f>
        <v>CAL-M5-NEW</v>
      </c>
      <c r="AC33" s="1271" t="str">
        <f>_xlfn.CONCAT(AC$2,$D33,AC$3)</f>
        <v>CAL-M5-CUST</v>
      </c>
      <c r="AF33" s="1270" t="str">
        <f>_xlfn.CONCAT(AF$2,$K33,AF$3)</f>
        <v>CAL-M6MM-NEW</v>
      </c>
      <c r="AG33" s="1271" t="str">
        <f>_xlfn.CONCAT(AG$2,$K33,AG$3)</f>
        <v>CAL-M6MM-CUST</v>
      </c>
    </row>
    <row r="34" spans="2:33" s="658" customFormat="1" x14ac:dyDescent="0.25">
      <c r="B34" s="702">
        <v>0.751</v>
      </c>
      <c r="C34" s="702">
        <v>0.83199999999999996</v>
      </c>
      <c r="D34" s="658" t="str">
        <f t="shared" si="0"/>
        <v>M5</v>
      </c>
      <c r="E34" s="539">
        <v>82</v>
      </c>
      <c r="F34" s="700">
        <f t="shared" si="9"/>
        <v>1.5</v>
      </c>
      <c r="G34" s="700">
        <f t="shared" si="9"/>
        <v>2</v>
      </c>
      <c r="H34"/>
      <c r="I34" s="704">
        <v>20.38</v>
      </c>
      <c r="J34" s="704">
        <v>22.04</v>
      </c>
      <c r="K34" s="725" t="s">
        <v>524</v>
      </c>
      <c r="L34" s="539">
        <v>84</v>
      </c>
      <c r="M34" s="700">
        <f t="shared" si="10"/>
        <v>1.7</v>
      </c>
      <c r="N34" s="700">
        <f t="shared" si="10"/>
        <v>2.2000000000000002</v>
      </c>
      <c r="O34"/>
      <c r="Q34" s="727" t="s">
        <v>65</v>
      </c>
      <c r="R34" s="713" t="str">
        <f t="shared" si="3"/>
        <v>.751" - .832"</v>
      </c>
      <c r="S34" s="717">
        <f t="shared" si="1"/>
        <v>120</v>
      </c>
      <c r="T34" s="710">
        <f t="shared" si="2"/>
        <v>160</v>
      </c>
      <c r="V34" s="727" t="s">
        <v>66</v>
      </c>
      <c r="W34" s="713" t="str">
        <f t="shared" si="4"/>
        <v>20.38 - 22.04mm</v>
      </c>
      <c r="X34" s="717">
        <f t="shared" si="5"/>
        <v>140</v>
      </c>
      <c r="Y34" s="710">
        <f t="shared" si="6"/>
        <v>180</v>
      </c>
      <c r="AB34" s="1270"/>
      <c r="AC34" s="1271"/>
      <c r="AF34" s="1270"/>
      <c r="AG34" s="1271"/>
    </row>
    <row r="35" spans="2:33" s="658" customFormat="1" x14ac:dyDescent="0.25">
      <c r="B35" s="702">
        <v>0.75149999999999995</v>
      </c>
      <c r="C35" s="702">
        <v>0.83250000000000002</v>
      </c>
      <c r="D35" s="658" t="str">
        <f t="shared" si="0"/>
        <v>M55</v>
      </c>
      <c r="E35" s="539">
        <v>82</v>
      </c>
      <c r="F35" s="700">
        <f t="shared" si="9"/>
        <v>1.5</v>
      </c>
      <c r="G35" s="700">
        <f t="shared" si="9"/>
        <v>2</v>
      </c>
      <c r="H35"/>
      <c r="I35" s="704">
        <v>20.39</v>
      </c>
      <c r="J35" s="704">
        <v>22.05</v>
      </c>
      <c r="K35" s="725" t="s">
        <v>525</v>
      </c>
      <c r="L35" s="539">
        <v>84</v>
      </c>
      <c r="M35" s="700">
        <f t="shared" si="10"/>
        <v>1.7</v>
      </c>
      <c r="N35" s="700">
        <f t="shared" si="10"/>
        <v>2.2000000000000002</v>
      </c>
      <c r="O35"/>
      <c r="Q35" s="711" t="s">
        <v>67</v>
      </c>
      <c r="R35" s="714" t="str">
        <f t="shared" si="3"/>
        <v>.7515" - .8325"</v>
      </c>
      <c r="S35" s="718">
        <f t="shared" si="1"/>
        <v>120</v>
      </c>
      <c r="T35" s="712">
        <f t="shared" si="2"/>
        <v>160</v>
      </c>
      <c r="V35" s="711" t="s">
        <v>68</v>
      </c>
      <c r="W35" s="714" t="str">
        <f t="shared" si="4"/>
        <v>20.39 - 22.05mm</v>
      </c>
      <c r="X35" s="718">
        <f t="shared" si="5"/>
        <v>140</v>
      </c>
      <c r="Y35" s="712">
        <f t="shared" si="6"/>
        <v>180</v>
      </c>
      <c r="AB35" s="1272" t="str">
        <f>_xlfn.CONCAT(AB$2,$D35,AB$3)</f>
        <v>CAL-M55-NEW</v>
      </c>
      <c r="AC35" s="1274" t="str">
        <f>_xlfn.CONCAT(AC$2,$D35,AC$3)</f>
        <v>CAL-M55-CUST</v>
      </c>
      <c r="AF35" s="1272" t="str">
        <f>_xlfn.CONCAT(AF$2,$K35,AF$3)</f>
        <v>CAL-M61MM-NEW</v>
      </c>
      <c r="AG35" s="1274" t="str">
        <f>_xlfn.CONCAT(AG$2,$K35,AG$3)</f>
        <v>CAL-M61MM-CUST</v>
      </c>
    </row>
    <row r="36" spans="2:33" s="658" customFormat="1" x14ac:dyDescent="0.25">
      <c r="B36" s="702">
        <v>0.75149999999999995</v>
      </c>
      <c r="C36" s="702">
        <v>0.83250000000000002</v>
      </c>
      <c r="D36" s="658" t="str">
        <f t="shared" si="0"/>
        <v>M55</v>
      </c>
      <c r="E36" s="539">
        <v>82</v>
      </c>
      <c r="F36" s="700">
        <f t="shared" si="9"/>
        <v>1.5</v>
      </c>
      <c r="G36" s="700">
        <f t="shared" si="9"/>
        <v>2</v>
      </c>
      <c r="H36"/>
      <c r="I36" s="704">
        <v>20.39</v>
      </c>
      <c r="J36" s="704">
        <v>22.05</v>
      </c>
      <c r="K36" s="725" t="s">
        <v>525</v>
      </c>
      <c r="L36" s="539">
        <v>84</v>
      </c>
      <c r="M36" s="700">
        <f t="shared" si="10"/>
        <v>1.7</v>
      </c>
      <c r="N36" s="700">
        <f t="shared" si="10"/>
        <v>2.2000000000000002</v>
      </c>
      <c r="O36"/>
      <c r="Q36" s="728" t="s">
        <v>69</v>
      </c>
      <c r="R36" s="715" t="str">
        <f t="shared" si="3"/>
        <v>.7515" - .8325"</v>
      </c>
      <c r="S36" s="719">
        <f t="shared" si="1"/>
        <v>120</v>
      </c>
      <c r="T36" s="175">
        <f t="shared" si="2"/>
        <v>160</v>
      </c>
      <c r="V36" s="728" t="s">
        <v>70</v>
      </c>
      <c r="W36" s="715" t="str">
        <f t="shared" si="4"/>
        <v>20.39 - 22.05mm</v>
      </c>
      <c r="X36" s="719">
        <f t="shared" si="5"/>
        <v>140</v>
      </c>
      <c r="Y36" s="175">
        <f t="shared" si="6"/>
        <v>180</v>
      </c>
      <c r="AB36" s="1276"/>
      <c r="AC36" s="1277"/>
      <c r="AF36" s="1276"/>
      <c r="AG36" s="1277"/>
    </row>
    <row r="37" spans="2:33" s="658" customFormat="1" x14ac:dyDescent="0.25">
      <c r="B37" s="702">
        <v>0.83299999999999996</v>
      </c>
      <c r="C37" s="702">
        <v>0.91600000000000004</v>
      </c>
      <c r="D37" s="658" t="str">
        <f t="shared" si="0"/>
        <v>M6</v>
      </c>
      <c r="E37" s="539">
        <v>84</v>
      </c>
      <c r="F37" s="700">
        <f t="shared" si="9"/>
        <v>1.5</v>
      </c>
      <c r="G37" s="700">
        <f t="shared" si="9"/>
        <v>2</v>
      </c>
      <c r="H37"/>
      <c r="I37" s="704">
        <v>22.06</v>
      </c>
      <c r="J37" s="704">
        <v>23.72</v>
      </c>
      <c r="K37" s="725" t="s">
        <v>526</v>
      </c>
      <c r="L37" s="539">
        <v>84</v>
      </c>
      <c r="M37" s="700">
        <f t="shared" si="10"/>
        <v>1.7</v>
      </c>
      <c r="N37" s="700">
        <f t="shared" si="10"/>
        <v>2.2000000000000002</v>
      </c>
      <c r="O37"/>
      <c r="Q37" s="727" t="s">
        <v>71</v>
      </c>
      <c r="R37" s="713" t="str">
        <f t="shared" si="3"/>
        <v>.833" - .916"</v>
      </c>
      <c r="S37" s="717">
        <f t="shared" si="1"/>
        <v>130</v>
      </c>
      <c r="T37" s="710">
        <f t="shared" si="2"/>
        <v>170</v>
      </c>
      <c r="V37" s="727" t="s">
        <v>72</v>
      </c>
      <c r="W37" s="713" t="str">
        <f t="shared" si="4"/>
        <v>22.06 - 23.72mm</v>
      </c>
      <c r="X37" s="717">
        <f t="shared" si="5"/>
        <v>140</v>
      </c>
      <c r="Y37" s="710">
        <f t="shared" si="6"/>
        <v>180</v>
      </c>
      <c r="AB37" s="1270" t="str">
        <f>_xlfn.CONCAT(AB$2,$D37,AB$3)</f>
        <v>CAL-M6-NEW</v>
      </c>
      <c r="AC37" s="1271" t="str">
        <f>_xlfn.CONCAT(AC$2,$D37,AC$3)</f>
        <v>CAL-M6-CUST</v>
      </c>
      <c r="AF37" s="1270" t="str">
        <f>_xlfn.CONCAT(AF$2,$K37,AF$3)</f>
        <v>CAL-M7MM-NEW</v>
      </c>
      <c r="AG37" s="1271" t="str">
        <f>_xlfn.CONCAT(AG$2,$K37,AG$3)</f>
        <v>CAL-M7MM-CUST</v>
      </c>
    </row>
    <row r="38" spans="2:33" s="658" customFormat="1" x14ac:dyDescent="0.25">
      <c r="B38" s="702">
        <v>0.83299999999999996</v>
      </c>
      <c r="C38" s="702">
        <v>0.91600000000000004</v>
      </c>
      <c r="D38" s="658" t="str">
        <f t="shared" si="0"/>
        <v>M6</v>
      </c>
      <c r="E38" s="539">
        <v>84</v>
      </c>
      <c r="F38" s="700">
        <f t="shared" si="9"/>
        <v>1.5</v>
      </c>
      <c r="G38" s="700">
        <f t="shared" si="9"/>
        <v>2</v>
      </c>
      <c r="H38"/>
      <c r="I38" s="704">
        <v>22.06</v>
      </c>
      <c r="J38" s="704">
        <v>23.72</v>
      </c>
      <c r="K38" s="725" t="s">
        <v>526</v>
      </c>
      <c r="L38" s="539">
        <v>84</v>
      </c>
      <c r="M38" s="700">
        <f t="shared" si="10"/>
        <v>1.7</v>
      </c>
      <c r="N38" s="700">
        <f t="shared" si="10"/>
        <v>2.2000000000000002</v>
      </c>
      <c r="O38"/>
      <c r="Q38" s="727" t="s">
        <v>73</v>
      </c>
      <c r="R38" s="713" t="str">
        <f t="shared" si="3"/>
        <v>.833" - .916"</v>
      </c>
      <c r="S38" s="717">
        <f t="shared" si="1"/>
        <v>130</v>
      </c>
      <c r="T38" s="710">
        <f t="shared" si="2"/>
        <v>170</v>
      </c>
      <c r="V38" s="727" t="s">
        <v>74</v>
      </c>
      <c r="W38" s="713" t="str">
        <f t="shared" si="4"/>
        <v>22.06 - 23.72mm</v>
      </c>
      <c r="X38" s="717">
        <f t="shared" si="5"/>
        <v>140</v>
      </c>
      <c r="Y38" s="710">
        <f t="shared" si="6"/>
        <v>180</v>
      </c>
      <c r="AB38" s="1270"/>
      <c r="AC38" s="1271"/>
      <c r="AF38" s="1270"/>
      <c r="AG38" s="1271"/>
    </row>
    <row r="39" spans="2:33" s="658" customFormat="1" x14ac:dyDescent="0.25">
      <c r="B39" s="702">
        <v>0.83350000000000002</v>
      </c>
      <c r="C39" s="702">
        <v>0.91649999999999998</v>
      </c>
      <c r="D39" s="658" t="str">
        <f t="shared" si="0"/>
        <v>M65</v>
      </c>
      <c r="E39" s="539">
        <v>84</v>
      </c>
      <c r="F39" s="700">
        <f t="shared" si="9"/>
        <v>1.5</v>
      </c>
      <c r="G39" s="700">
        <f t="shared" si="9"/>
        <v>2</v>
      </c>
      <c r="H39"/>
      <c r="I39" s="704">
        <v>22.07</v>
      </c>
      <c r="J39" s="704">
        <v>23.73</v>
      </c>
      <c r="K39" s="725" t="s">
        <v>527</v>
      </c>
      <c r="L39" s="539">
        <v>84</v>
      </c>
      <c r="M39" s="700">
        <f t="shared" si="10"/>
        <v>1.7</v>
      </c>
      <c r="N39" s="700">
        <f t="shared" si="10"/>
        <v>2.2000000000000002</v>
      </c>
      <c r="O39"/>
      <c r="Q39" s="711" t="s">
        <v>75</v>
      </c>
      <c r="R39" s="714" t="str">
        <f t="shared" si="3"/>
        <v>.8335" - .9165"</v>
      </c>
      <c r="S39" s="718">
        <f t="shared" si="1"/>
        <v>130</v>
      </c>
      <c r="T39" s="712">
        <f t="shared" si="2"/>
        <v>170</v>
      </c>
      <c r="V39" s="711" t="s">
        <v>76</v>
      </c>
      <c r="W39" s="714" t="str">
        <f t="shared" si="4"/>
        <v>22.07 - 23.73mm</v>
      </c>
      <c r="X39" s="718">
        <f t="shared" si="5"/>
        <v>140</v>
      </c>
      <c r="Y39" s="712">
        <f t="shared" si="6"/>
        <v>180</v>
      </c>
      <c r="AB39" s="1272" t="str">
        <f>_xlfn.CONCAT(AB$2,$D39,AB$3)</f>
        <v>CAL-M65-NEW</v>
      </c>
      <c r="AC39" s="1274" t="str">
        <f>_xlfn.CONCAT(AC$2,$D39,AC$3)</f>
        <v>CAL-M65-CUST</v>
      </c>
      <c r="AF39" s="1272" t="str">
        <f>_xlfn.CONCAT(AF$2,$K39,AF$3)</f>
        <v>CAL-M71MM-NEW</v>
      </c>
      <c r="AG39" s="1274" t="str">
        <f>_xlfn.CONCAT(AG$2,$K39,AG$3)</f>
        <v>CAL-M71MM-CUST</v>
      </c>
    </row>
    <row r="40" spans="2:33" s="658" customFormat="1" x14ac:dyDescent="0.25">
      <c r="B40" s="702">
        <v>0.83350000000000002</v>
      </c>
      <c r="C40" s="702">
        <v>0.91649999999999998</v>
      </c>
      <c r="D40" s="658" t="str">
        <f t="shared" si="0"/>
        <v>M65</v>
      </c>
      <c r="E40" s="539">
        <v>84</v>
      </c>
      <c r="F40" s="700">
        <f t="shared" si="9"/>
        <v>1.5</v>
      </c>
      <c r="G40" s="700">
        <f t="shared" si="9"/>
        <v>2</v>
      </c>
      <c r="H40"/>
      <c r="I40" s="704">
        <v>22.07</v>
      </c>
      <c r="J40" s="704">
        <v>23.73</v>
      </c>
      <c r="K40" s="725" t="s">
        <v>527</v>
      </c>
      <c r="L40" s="539">
        <v>84</v>
      </c>
      <c r="M40" s="700">
        <f t="shared" si="10"/>
        <v>1.7</v>
      </c>
      <c r="N40" s="700">
        <f t="shared" si="10"/>
        <v>2.2000000000000002</v>
      </c>
      <c r="O40"/>
      <c r="Q40" s="728" t="s">
        <v>77</v>
      </c>
      <c r="R40" s="715" t="str">
        <f t="shared" si="3"/>
        <v>.8335" - .9165"</v>
      </c>
      <c r="S40" s="719">
        <f t="shared" si="1"/>
        <v>130</v>
      </c>
      <c r="T40" s="175">
        <f t="shared" si="2"/>
        <v>170</v>
      </c>
      <c r="V40" s="728" t="s">
        <v>78</v>
      </c>
      <c r="W40" s="715" t="str">
        <f t="shared" si="4"/>
        <v>22.07 - 23.73mm</v>
      </c>
      <c r="X40" s="719">
        <f t="shared" si="5"/>
        <v>140</v>
      </c>
      <c r="Y40" s="175">
        <f t="shared" si="6"/>
        <v>180</v>
      </c>
      <c r="AB40" s="1276"/>
      <c r="AC40" s="1277"/>
      <c r="AF40" s="1276"/>
      <c r="AG40" s="1277"/>
    </row>
    <row r="41" spans="2:33" s="658" customFormat="1" x14ac:dyDescent="0.25">
      <c r="B41" s="702">
        <v>0.91700000000000004</v>
      </c>
      <c r="C41" s="702">
        <v>1</v>
      </c>
      <c r="D41" s="658" t="str">
        <f t="shared" si="0"/>
        <v>M7</v>
      </c>
      <c r="E41" s="539">
        <v>84</v>
      </c>
      <c r="F41" s="700">
        <f t="shared" si="9"/>
        <v>1.5</v>
      </c>
      <c r="G41" s="700">
        <f t="shared" si="9"/>
        <v>2</v>
      </c>
      <c r="H41"/>
      <c r="I41" s="704">
        <v>23.74</v>
      </c>
      <c r="J41" s="704">
        <v>25.4</v>
      </c>
      <c r="K41" s="725" t="s">
        <v>528</v>
      </c>
      <c r="L41" s="539">
        <v>84</v>
      </c>
      <c r="M41" s="700">
        <f t="shared" si="10"/>
        <v>1.7</v>
      </c>
      <c r="N41" s="700">
        <f t="shared" si="10"/>
        <v>2.2000000000000002</v>
      </c>
      <c r="O41"/>
      <c r="Q41" s="727" t="s">
        <v>79</v>
      </c>
      <c r="R41" s="713" t="str">
        <f t="shared" si="3"/>
        <v>.917" - 1.000"</v>
      </c>
      <c r="S41" s="717">
        <f t="shared" si="1"/>
        <v>130</v>
      </c>
      <c r="T41" s="710">
        <f t="shared" si="2"/>
        <v>170</v>
      </c>
      <c r="V41" s="727" t="s">
        <v>80</v>
      </c>
      <c r="W41" s="713" t="str">
        <f t="shared" si="4"/>
        <v>23.74 - 25.40mm</v>
      </c>
      <c r="X41" s="717">
        <f t="shared" si="5"/>
        <v>140</v>
      </c>
      <c r="Y41" s="710">
        <f t="shared" si="6"/>
        <v>180</v>
      </c>
      <c r="AB41" s="1270" t="str">
        <f>_xlfn.CONCAT(AB$2,$D41,AB$3)</f>
        <v>CAL-M7-NEW</v>
      </c>
      <c r="AC41" s="1271" t="str">
        <f>_xlfn.CONCAT(AC$2,$D41,AC$3)</f>
        <v>CAL-M7-CUST</v>
      </c>
      <c r="AF41" s="1270" t="str">
        <f>_xlfn.CONCAT(AF$2,$K41,AF$3)</f>
        <v>CAL-M8MM-NEW</v>
      </c>
      <c r="AG41" s="1271" t="str">
        <f>_xlfn.CONCAT(AG$2,$K41,AG$3)</f>
        <v>CAL-M8MM-CUST</v>
      </c>
    </row>
    <row r="42" spans="2:33" s="658" customFormat="1" x14ac:dyDescent="0.25">
      <c r="B42" s="702">
        <v>0.91700000000000004</v>
      </c>
      <c r="C42" s="702">
        <v>1</v>
      </c>
      <c r="D42" s="658" t="str">
        <f t="shared" si="0"/>
        <v>M7</v>
      </c>
      <c r="E42" s="539">
        <v>84</v>
      </c>
      <c r="F42" s="700">
        <f t="shared" si="9"/>
        <v>1.5</v>
      </c>
      <c r="G42" s="700">
        <f t="shared" si="9"/>
        <v>2</v>
      </c>
      <c r="H42"/>
      <c r="I42" s="704">
        <v>23.74</v>
      </c>
      <c r="J42" s="704">
        <v>25.4</v>
      </c>
      <c r="K42" s="725" t="s">
        <v>528</v>
      </c>
      <c r="L42" s="539">
        <v>84</v>
      </c>
      <c r="M42" s="700">
        <f t="shared" si="10"/>
        <v>1.7</v>
      </c>
      <c r="N42" s="700">
        <f t="shared" si="10"/>
        <v>2.2000000000000002</v>
      </c>
      <c r="O42"/>
      <c r="Q42" s="727" t="s">
        <v>81</v>
      </c>
      <c r="R42" s="713" t="str">
        <f t="shared" si="3"/>
        <v>.917" - 1.000"</v>
      </c>
      <c r="S42" s="717">
        <f t="shared" si="1"/>
        <v>130</v>
      </c>
      <c r="T42" s="710">
        <f t="shared" si="2"/>
        <v>170</v>
      </c>
      <c r="V42" s="727" t="s">
        <v>82</v>
      </c>
      <c r="W42" s="713" t="str">
        <f t="shared" si="4"/>
        <v>23.74 - 25.40mm</v>
      </c>
      <c r="X42" s="717">
        <f t="shared" si="5"/>
        <v>140</v>
      </c>
      <c r="Y42" s="710">
        <f t="shared" si="6"/>
        <v>180</v>
      </c>
      <c r="AB42" s="1270"/>
      <c r="AC42" s="1271"/>
      <c r="AF42" s="1270"/>
      <c r="AG42" s="1271"/>
    </row>
    <row r="43" spans="2:33" s="658" customFormat="1" x14ac:dyDescent="0.25">
      <c r="B43" s="702">
        <v>0.91749999999999998</v>
      </c>
      <c r="C43" s="702">
        <v>1.0004999999999999</v>
      </c>
      <c r="D43" s="658" t="str">
        <f t="shared" si="0"/>
        <v>M75</v>
      </c>
      <c r="E43" s="539">
        <v>84</v>
      </c>
      <c r="F43" s="700">
        <f t="shared" ref="F43:G44" si="11">F42</f>
        <v>1.5</v>
      </c>
      <c r="G43" s="700">
        <f t="shared" si="11"/>
        <v>2</v>
      </c>
      <c r="H43"/>
      <c r="I43" s="704">
        <v>23.75</v>
      </c>
      <c r="J43" s="704">
        <v>25.41</v>
      </c>
      <c r="K43" s="725" t="s">
        <v>529</v>
      </c>
      <c r="L43" s="539">
        <v>84</v>
      </c>
      <c r="M43" s="700">
        <f t="shared" ref="M43:N44" si="12">M42</f>
        <v>1.7</v>
      </c>
      <c r="N43" s="700">
        <f t="shared" si="12"/>
        <v>2.2000000000000002</v>
      </c>
      <c r="O43"/>
      <c r="Q43" s="711" t="s">
        <v>83</v>
      </c>
      <c r="R43" s="714" t="str">
        <f t="shared" si="3"/>
        <v>.9175" - 1.0005"</v>
      </c>
      <c r="S43" s="718">
        <f t="shared" si="1"/>
        <v>130</v>
      </c>
      <c r="T43" s="712">
        <f t="shared" si="2"/>
        <v>170</v>
      </c>
      <c r="V43" s="711" t="s">
        <v>84</v>
      </c>
      <c r="W43" s="714" t="str">
        <f t="shared" si="4"/>
        <v>23.75 - 25.41mm</v>
      </c>
      <c r="X43" s="718">
        <f t="shared" si="5"/>
        <v>140</v>
      </c>
      <c r="Y43" s="712">
        <f t="shared" si="6"/>
        <v>180</v>
      </c>
      <c r="AB43" s="1272" t="str">
        <f>_xlfn.CONCAT(AB$2,$D43,AB$3)</f>
        <v>CAL-M75-NEW</v>
      </c>
      <c r="AC43" s="1274" t="str">
        <f>_xlfn.CONCAT(AC$2,$D43,AC$3)</f>
        <v>CAL-M75-CUST</v>
      </c>
      <c r="AF43" s="1272" t="str">
        <f>_xlfn.CONCAT(AF$2,$K43,AF$3)</f>
        <v>CAL-M81MM-NEW</v>
      </c>
      <c r="AG43" s="1274" t="str">
        <f>_xlfn.CONCAT(AG$2,$K43,AG$3)</f>
        <v>CAL-M81MM-CUST</v>
      </c>
    </row>
    <row r="44" spans="2:33" s="658" customFormat="1" ht="15.75" thickBot="1" x14ac:dyDescent="0.3">
      <c r="B44" s="702">
        <v>0.91749999999999998</v>
      </c>
      <c r="C44" s="702">
        <v>1.0004999999999999</v>
      </c>
      <c r="D44" s="658" t="str">
        <f t="shared" si="0"/>
        <v>M75</v>
      </c>
      <c r="E44" s="539">
        <v>84</v>
      </c>
      <c r="F44" s="700">
        <f t="shared" si="11"/>
        <v>1.5</v>
      </c>
      <c r="G44" s="700">
        <f t="shared" si="11"/>
        <v>2</v>
      </c>
      <c r="H44"/>
      <c r="I44" s="704">
        <v>23.75</v>
      </c>
      <c r="J44" s="704">
        <v>25.41</v>
      </c>
      <c r="K44" s="725" t="s">
        <v>529</v>
      </c>
      <c r="L44" s="539">
        <v>84</v>
      </c>
      <c r="M44" s="700">
        <f t="shared" si="12"/>
        <v>1.7</v>
      </c>
      <c r="N44" s="700">
        <f t="shared" si="12"/>
        <v>2.2000000000000002</v>
      </c>
      <c r="O44"/>
      <c r="Q44" s="729" t="s">
        <v>85</v>
      </c>
      <c r="R44" s="716" t="str">
        <f t="shared" si="3"/>
        <v>.9175" - 1.0005"</v>
      </c>
      <c r="S44" s="720">
        <f t="shared" si="1"/>
        <v>130</v>
      </c>
      <c r="T44" s="178">
        <f t="shared" si="2"/>
        <v>170</v>
      </c>
      <c r="V44" s="729" t="s">
        <v>86</v>
      </c>
      <c r="W44" s="716" t="str">
        <f t="shared" si="4"/>
        <v>23.75 - 25.41mm</v>
      </c>
      <c r="X44" s="720">
        <f t="shared" si="5"/>
        <v>140</v>
      </c>
      <c r="Y44" s="178">
        <f t="shared" si="6"/>
        <v>180</v>
      </c>
      <c r="AB44" s="1273"/>
      <c r="AC44" s="1275"/>
      <c r="AF44" s="1273"/>
      <c r="AG44" s="1275"/>
    </row>
    <row r="45" spans="2:33" s="658" customFormat="1" ht="15.75" thickBot="1" x14ac:dyDescent="0.3">
      <c r="B45" s="702"/>
      <c r="C45" s="702"/>
      <c r="F45" s="725"/>
      <c r="G45" s="725"/>
      <c r="H45"/>
      <c r="I45"/>
      <c r="J45"/>
      <c r="K45"/>
      <c r="L45" s="18"/>
      <c r="M45"/>
      <c r="N45"/>
      <c r="O45"/>
      <c r="Q45" s="726"/>
      <c r="R45" s="701"/>
      <c r="S45" s="700"/>
      <c r="T45" s="700"/>
      <c r="AB45" s="11"/>
      <c r="AC45" s="734"/>
      <c r="AF45" s="734"/>
      <c r="AG45" s="734"/>
    </row>
    <row r="46" spans="2:33" s="658" customFormat="1" x14ac:dyDescent="0.25">
      <c r="B46" s="732" t="s">
        <v>888</v>
      </c>
      <c r="C46" s="702">
        <v>1E-3</v>
      </c>
      <c r="D46" s="725" t="s">
        <v>915</v>
      </c>
      <c r="E46" s="725"/>
      <c r="F46" s="708"/>
      <c r="G46" s="708"/>
      <c r="H46"/>
      <c r="I46" s="702" t="s">
        <v>889</v>
      </c>
      <c r="J46" s="702" t="s">
        <v>916</v>
      </c>
      <c r="L46" s="539"/>
      <c r="M46" s="708"/>
      <c r="N46" s="708"/>
      <c r="O46"/>
      <c r="Q46" s="592" t="str">
        <f>_xlfn.CONCAT($B46," (",(TEXT(C46,".000")),D46," Increments)")</f>
        <v>Inch Libraries (.001" Increments)</v>
      </c>
      <c r="R46" s="595"/>
      <c r="S46" s="595"/>
      <c r="T46" s="683"/>
      <c r="V46" s="592" t="str">
        <f>_xlfn.CONCAT($I46," (",(TEXT(J46,".000"))," Increments)")</f>
        <v>Metric Libraries (.02mm Increments)</v>
      </c>
      <c r="W46" s="595"/>
      <c r="X46" s="595"/>
      <c r="Y46" s="683"/>
      <c r="AB46" s="592" t="s">
        <v>1400</v>
      </c>
      <c r="AC46" s="593"/>
      <c r="AF46" s="592" t="s">
        <v>1400</v>
      </c>
      <c r="AG46" s="593"/>
    </row>
    <row r="47" spans="2:33" s="1233" customFormat="1" x14ac:dyDescent="0.25">
      <c r="F47" s="1237"/>
      <c r="G47" s="1237"/>
      <c r="H47" s="183"/>
      <c r="L47" s="1244"/>
      <c r="M47" s="183"/>
      <c r="N47" s="183"/>
      <c r="O47" s="183"/>
      <c r="Q47" s="1232" t="s">
        <v>1408</v>
      </c>
      <c r="R47" s="1240" t="s">
        <v>3</v>
      </c>
      <c r="S47" s="1240" t="s">
        <v>558</v>
      </c>
      <c r="T47" s="1241" t="s">
        <v>564</v>
      </c>
      <c r="V47" s="1232" t="s">
        <v>1408</v>
      </c>
      <c r="W47" s="1240" t="s">
        <v>3</v>
      </c>
      <c r="X47" s="1240" t="s">
        <v>558</v>
      </c>
      <c r="Y47" s="1241" t="s">
        <v>564</v>
      </c>
      <c r="AB47" s="1249" t="s">
        <v>558</v>
      </c>
      <c r="AC47" s="1250" t="s">
        <v>564</v>
      </c>
      <c r="AD47" s="705"/>
      <c r="AE47" s="705"/>
      <c r="AF47" s="1249" t="s">
        <v>558</v>
      </c>
      <c r="AG47" s="1250" t="s">
        <v>564</v>
      </c>
    </row>
    <row r="48" spans="2:33" s="658" customFormat="1" x14ac:dyDescent="0.25">
      <c r="B48" s="702">
        <v>1.0999999999999999E-2</v>
      </c>
      <c r="C48" s="702">
        <v>0.625</v>
      </c>
      <c r="D48" s="658" t="str">
        <f t="shared" ref="D48:D75" si="13">LEFT(Q48,LEN(Q48)-1)</f>
        <v>LS</v>
      </c>
      <c r="E48" s="539">
        <v>615</v>
      </c>
      <c r="F48" s="733">
        <v>1.3</v>
      </c>
      <c r="G48" s="733">
        <v>1.7</v>
      </c>
      <c r="H48"/>
      <c r="I48" s="703">
        <v>1.52</v>
      </c>
      <c r="J48" s="703">
        <v>17.8</v>
      </c>
      <c r="K48" s="725" t="s">
        <v>1288</v>
      </c>
      <c r="L48" s="539">
        <v>815</v>
      </c>
      <c r="M48" s="733">
        <v>1.5</v>
      </c>
      <c r="N48" s="733">
        <v>2</v>
      </c>
      <c r="O48"/>
      <c r="Q48" s="730" t="s">
        <v>168</v>
      </c>
      <c r="R48" s="713" t="str">
        <f t="shared" ref="R48:R75" si="14">_xlfn.CONCAT(TEXT($B48,"#.000#"),""""," - ",TEXT($C48,"#.000#"),"""")</f>
        <v>.011" - .625"</v>
      </c>
      <c r="S48" s="717">
        <f t="shared" ref="S48:S75" si="15">MROUND(PRODUCT($F48,$E48),10)</f>
        <v>800</v>
      </c>
      <c r="T48" s="710">
        <f t="shared" ref="T48:T75" si="16">MROUND(PRODUCT($G48,$E48),10)</f>
        <v>1050</v>
      </c>
      <c r="V48" s="730" t="s">
        <v>133</v>
      </c>
      <c r="W48" s="713" t="str">
        <f t="shared" ref="W48:W59" si="17">_xlfn.CONCAT(TEXT($I48,"0.00")," - ",TEXT($J48,"0.00"),"mm")</f>
        <v>1.52 - 17.80mm</v>
      </c>
      <c r="X48" s="717">
        <f t="shared" ref="X48:X59" si="18">MROUND(PRODUCT($M48,$L48),10)</f>
        <v>1220</v>
      </c>
      <c r="Y48" s="710">
        <f t="shared" ref="Y48:Y59" si="19">MROUND(PRODUCT($N48,$L48),10)</f>
        <v>1630</v>
      </c>
      <c r="AB48" s="1278" t="str">
        <f>_xlfn.CONCAT(AB$2,$D48,AB$3)</f>
        <v>CAL-LS-NEW</v>
      </c>
      <c r="AC48" s="1279" t="str">
        <f>_xlfn.CONCAT(AC$2,$D48,AC$3)</f>
        <v>CAL-LS-CUST</v>
      </c>
      <c r="AF48" s="1278" t="str">
        <f>_xlfn.CONCAT(AF$2,$K48,AF$3)</f>
        <v>CAL-L10MM-NEW</v>
      </c>
      <c r="AG48" s="1279" t="str">
        <f>_xlfn.CONCAT(AG$2,$K48,AG$3)</f>
        <v>CAL-L10MM-CUST</v>
      </c>
    </row>
    <row r="49" spans="2:33" s="658" customFormat="1" x14ac:dyDescent="0.25">
      <c r="B49" s="702">
        <v>1.0999999999999999E-2</v>
      </c>
      <c r="C49" s="702">
        <v>0.625</v>
      </c>
      <c r="D49" s="658" t="str">
        <f t="shared" si="13"/>
        <v>LS</v>
      </c>
      <c r="E49" s="539">
        <v>615</v>
      </c>
      <c r="F49" s="700">
        <f>F48</f>
        <v>1.3</v>
      </c>
      <c r="G49" s="700">
        <f>G48</f>
        <v>1.7</v>
      </c>
      <c r="H49"/>
      <c r="I49" s="703">
        <v>1.52</v>
      </c>
      <c r="J49" s="703">
        <v>17.8</v>
      </c>
      <c r="K49" s="725" t="s">
        <v>1288</v>
      </c>
      <c r="L49" s="539">
        <v>815</v>
      </c>
      <c r="M49" s="700">
        <f>M48</f>
        <v>1.5</v>
      </c>
      <c r="N49" s="700">
        <f>N48</f>
        <v>2</v>
      </c>
      <c r="O49"/>
      <c r="Q49" s="730" t="s">
        <v>169</v>
      </c>
      <c r="R49" s="713" t="str">
        <f t="shared" si="14"/>
        <v>.011" - .625"</v>
      </c>
      <c r="S49" s="717">
        <f t="shared" si="15"/>
        <v>800</v>
      </c>
      <c r="T49" s="710">
        <f t="shared" si="16"/>
        <v>1050</v>
      </c>
      <c r="V49" s="730" t="s">
        <v>135</v>
      </c>
      <c r="W49" s="713" t="str">
        <f t="shared" si="17"/>
        <v>1.52 - 17.80mm</v>
      </c>
      <c r="X49" s="717">
        <f t="shared" si="18"/>
        <v>1220</v>
      </c>
      <c r="Y49" s="710">
        <f t="shared" si="19"/>
        <v>1630</v>
      </c>
      <c r="AB49" s="1270"/>
      <c r="AC49" s="1271"/>
      <c r="AF49" s="1270"/>
      <c r="AG49" s="1271"/>
    </row>
    <row r="50" spans="2:33" s="658" customFormat="1" x14ac:dyDescent="0.25">
      <c r="B50" s="702">
        <v>1.15E-2</v>
      </c>
      <c r="C50" s="702">
        <v>0.62549999999999994</v>
      </c>
      <c r="D50" s="658" t="str">
        <f t="shared" si="13"/>
        <v>LS5</v>
      </c>
      <c r="E50" s="539">
        <v>615</v>
      </c>
      <c r="F50" s="700">
        <f t="shared" ref="F50:G65" si="20">F49</f>
        <v>1.3</v>
      </c>
      <c r="G50" s="700">
        <f t="shared" si="20"/>
        <v>1.7</v>
      </c>
      <c r="H50"/>
      <c r="I50" s="703">
        <v>1.53</v>
      </c>
      <c r="J50" s="703">
        <v>17.809999999999999</v>
      </c>
      <c r="K50" s="725" t="s">
        <v>1289</v>
      </c>
      <c r="L50" s="539">
        <v>815</v>
      </c>
      <c r="M50" s="700">
        <f t="shared" ref="M50:N59" si="21">M49</f>
        <v>1.5</v>
      </c>
      <c r="N50" s="700">
        <f t="shared" si="21"/>
        <v>2</v>
      </c>
      <c r="O50"/>
      <c r="Q50" s="711" t="s">
        <v>170</v>
      </c>
      <c r="R50" s="714" t="str">
        <f t="shared" si="14"/>
        <v>.0115" - .6255"</v>
      </c>
      <c r="S50" s="718">
        <f t="shared" si="15"/>
        <v>800</v>
      </c>
      <c r="T50" s="712">
        <f t="shared" si="16"/>
        <v>1050</v>
      </c>
      <c r="V50" s="711" t="s">
        <v>137</v>
      </c>
      <c r="W50" s="714" t="str">
        <f t="shared" si="17"/>
        <v>1.53 - 17.81mm</v>
      </c>
      <c r="X50" s="718">
        <f t="shared" si="18"/>
        <v>1220</v>
      </c>
      <c r="Y50" s="712">
        <f t="shared" si="19"/>
        <v>1630</v>
      </c>
      <c r="AB50" s="1272" t="str">
        <f>_xlfn.CONCAT(AB$2,$D50,AB$3)</f>
        <v>CAL-LS5-NEW</v>
      </c>
      <c r="AC50" s="1274" t="str">
        <f>_xlfn.CONCAT(AC$2,$D50,AC$3)</f>
        <v>CAL-LS5-CUST</v>
      </c>
      <c r="AF50" s="1272" t="str">
        <f>_xlfn.CONCAT(AF$2,$K50,AF$3)</f>
        <v>CAL-L11MM-NEW</v>
      </c>
      <c r="AG50" s="1274" t="str">
        <f>_xlfn.CONCAT(AG$2,$K50,AG$3)</f>
        <v>CAL-L11MM-CUST</v>
      </c>
    </row>
    <row r="51" spans="2:33" s="658" customFormat="1" x14ac:dyDescent="0.25">
      <c r="B51" s="702">
        <v>1.15E-2</v>
      </c>
      <c r="C51" s="702">
        <v>0.62549999999999994</v>
      </c>
      <c r="D51" s="658" t="str">
        <f t="shared" si="13"/>
        <v>LS5</v>
      </c>
      <c r="E51" s="539">
        <v>615</v>
      </c>
      <c r="F51" s="700">
        <f t="shared" si="20"/>
        <v>1.3</v>
      </c>
      <c r="G51" s="700">
        <f t="shared" si="20"/>
        <v>1.7</v>
      </c>
      <c r="H51"/>
      <c r="I51" s="703">
        <v>1.53</v>
      </c>
      <c r="J51" s="703">
        <v>17.809999999999999</v>
      </c>
      <c r="K51" s="725" t="s">
        <v>1289</v>
      </c>
      <c r="L51" s="539">
        <v>815</v>
      </c>
      <c r="M51" s="700">
        <f t="shared" si="21"/>
        <v>1.5</v>
      </c>
      <c r="N51" s="700">
        <f t="shared" si="21"/>
        <v>2</v>
      </c>
      <c r="O51"/>
      <c r="Q51" s="728" t="s">
        <v>171</v>
      </c>
      <c r="R51" s="715" t="str">
        <f t="shared" si="14"/>
        <v>.0115" - .6255"</v>
      </c>
      <c r="S51" s="719">
        <f t="shared" si="15"/>
        <v>800</v>
      </c>
      <c r="T51" s="175">
        <f t="shared" si="16"/>
        <v>1050</v>
      </c>
      <c r="V51" s="728" t="s">
        <v>139</v>
      </c>
      <c r="W51" s="715" t="str">
        <f t="shared" si="17"/>
        <v>1.53 - 17.81mm</v>
      </c>
      <c r="X51" s="719">
        <f t="shared" si="18"/>
        <v>1220</v>
      </c>
      <c r="Y51" s="175">
        <f t="shared" si="19"/>
        <v>1630</v>
      </c>
      <c r="AB51" s="1276"/>
      <c r="AC51" s="1277"/>
      <c r="AF51" s="1276"/>
      <c r="AG51" s="1277"/>
    </row>
    <row r="52" spans="2:33" s="658" customFormat="1" x14ac:dyDescent="0.25">
      <c r="B52" s="702">
        <v>1.0999999999999999E-2</v>
      </c>
      <c r="C52" s="702">
        <v>0.75</v>
      </c>
      <c r="D52" s="658" t="str">
        <f t="shared" si="13"/>
        <v>LC</v>
      </c>
      <c r="E52" s="539">
        <v>740</v>
      </c>
      <c r="F52" s="700">
        <f t="shared" si="20"/>
        <v>1.3</v>
      </c>
      <c r="G52" s="700">
        <f t="shared" si="20"/>
        <v>1.7</v>
      </c>
      <c r="H52"/>
      <c r="I52" s="703">
        <v>17.82</v>
      </c>
      <c r="J52" s="703">
        <v>25.4</v>
      </c>
      <c r="K52" s="725" t="s">
        <v>1290</v>
      </c>
      <c r="L52" s="539">
        <v>380</v>
      </c>
      <c r="M52" s="700">
        <f t="shared" si="21"/>
        <v>1.5</v>
      </c>
      <c r="N52" s="700">
        <f t="shared" si="21"/>
        <v>2</v>
      </c>
      <c r="O52"/>
      <c r="Q52" s="730" t="s">
        <v>164</v>
      </c>
      <c r="R52" s="713" t="str">
        <f t="shared" si="14"/>
        <v>.011" - .750"</v>
      </c>
      <c r="S52" s="717">
        <f t="shared" si="15"/>
        <v>960</v>
      </c>
      <c r="T52" s="710">
        <f t="shared" si="16"/>
        <v>1260</v>
      </c>
      <c r="V52" s="730" t="s">
        <v>141</v>
      </c>
      <c r="W52" s="713" t="str">
        <f t="shared" si="17"/>
        <v>17.82 - 25.40mm</v>
      </c>
      <c r="X52" s="717">
        <f t="shared" si="18"/>
        <v>570</v>
      </c>
      <c r="Y52" s="710">
        <f t="shared" si="19"/>
        <v>760</v>
      </c>
      <c r="AB52" s="1270" t="str">
        <f>_xlfn.CONCAT(AB$2,$D52,AB$3)</f>
        <v>CAL-LC-NEW</v>
      </c>
      <c r="AC52" s="1271" t="str">
        <f>_xlfn.CONCAT(AC$2,$D52,AC$3)</f>
        <v>CAL-LC-CUST</v>
      </c>
      <c r="AF52" s="1270" t="str">
        <f>_xlfn.CONCAT(AF$2,$K52,AF$3)</f>
        <v>CAL-L20MM-NEW</v>
      </c>
      <c r="AG52" s="1271" t="str">
        <f>_xlfn.CONCAT(AG$2,$K52,AG$3)</f>
        <v>CAL-L20MM-CUST</v>
      </c>
    </row>
    <row r="53" spans="2:33" s="658" customFormat="1" x14ac:dyDescent="0.25">
      <c r="B53" s="702">
        <v>1.0999999999999999E-2</v>
      </c>
      <c r="C53" s="702">
        <v>0.75</v>
      </c>
      <c r="D53" s="658" t="str">
        <f t="shared" si="13"/>
        <v>LC</v>
      </c>
      <c r="E53" s="539">
        <v>740</v>
      </c>
      <c r="F53" s="700">
        <f t="shared" si="20"/>
        <v>1.3</v>
      </c>
      <c r="G53" s="700">
        <f t="shared" si="20"/>
        <v>1.7</v>
      </c>
      <c r="H53"/>
      <c r="I53" s="703">
        <v>17.82</v>
      </c>
      <c r="J53" s="703">
        <v>25.4</v>
      </c>
      <c r="K53" s="725" t="s">
        <v>1290</v>
      </c>
      <c r="L53" s="539">
        <v>380</v>
      </c>
      <c r="M53" s="700">
        <f t="shared" si="21"/>
        <v>1.5</v>
      </c>
      <c r="N53" s="700">
        <f t="shared" si="21"/>
        <v>2</v>
      </c>
      <c r="O53"/>
      <c r="Q53" s="730" t="s">
        <v>165</v>
      </c>
      <c r="R53" s="713" t="str">
        <f t="shared" si="14"/>
        <v>.011" - .750"</v>
      </c>
      <c r="S53" s="717">
        <f t="shared" si="15"/>
        <v>960</v>
      </c>
      <c r="T53" s="710">
        <f t="shared" si="16"/>
        <v>1260</v>
      </c>
      <c r="V53" s="730" t="s">
        <v>143</v>
      </c>
      <c r="W53" s="713" t="str">
        <f t="shared" si="17"/>
        <v>17.82 - 25.40mm</v>
      </c>
      <c r="X53" s="717">
        <f t="shared" si="18"/>
        <v>570</v>
      </c>
      <c r="Y53" s="710">
        <f t="shared" si="19"/>
        <v>760</v>
      </c>
      <c r="AB53" s="1270"/>
      <c r="AC53" s="1271"/>
      <c r="AF53" s="1270"/>
      <c r="AG53" s="1271"/>
    </row>
    <row r="54" spans="2:33" s="658" customFormat="1" x14ac:dyDescent="0.25">
      <c r="B54" s="702">
        <v>1.15E-2</v>
      </c>
      <c r="C54" s="702">
        <v>0.75049999999999994</v>
      </c>
      <c r="D54" s="658" t="str">
        <f t="shared" si="13"/>
        <v>LC5</v>
      </c>
      <c r="E54" s="539">
        <v>740</v>
      </c>
      <c r="F54" s="700">
        <f t="shared" si="20"/>
        <v>1.3</v>
      </c>
      <c r="G54" s="700">
        <f t="shared" si="20"/>
        <v>1.7</v>
      </c>
      <c r="H54"/>
      <c r="I54" s="703">
        <v>17.829999999999998</v>
      </c>
      <c r="J54" s="703">
        <v>25.41</v>
      </c>
      <c r="K54" s="725" t="s">
        <v>1291</v>
      </c>
      <c r="L54" s="539">
        <v>380</v>
      </c>
      <c r="M54" s="700">
        <f t="shared" si="21"/>
        <v>1.5</v>
      </c>
      <c r="N54" s="700">
        <f t="shared" si="21"/>
        <v>2</v>
      </c>
      <c r="O54"/>
      <c r="Q54" s="711" t="s">
        <v>166</v>
      </c>
      <c r="R54" s="714" t="str">
        <f t="shared" si="14"/>
        <v>.0115" - .7505"</v>
      </c>
      <c r="S54" s="718">
        <f t="shared" si="15"/>
        <v>960</v>
      </c>
      <c r="T54" s="712">
        <f t="shared" si="16"/>
        <v>1260</v>
      </c>
      <c r="V54" s="711" t="s">
        <v>145</v>
      </c>
      <c r="W54" s="714" t="str">
        <f t="shared" si="17"/>
        <v>17.83 - 25.41mm</v>
      </c>
      <c r="X54" s="718">
        <f t="shared" si="18"/>
        <v>570</v>
      </c>
      <c r="Y54" s="712">
        <f t="shared" si="19"/>
        <v>760</v>
      </c>
      <c r="AB54" s="1272" t="str">
        <f>_xlfn.CONCAT(AB$2,$D54,AB$3)</f>
        <v>CAL-LC5-NEW</v>
      </c>
      <c r="AC54" s="1274" t="str">
        <f>_xlfn.CONCAT(AC$2,$D54,AC$3)</f>
        <v>CAL-LC5-CUST</v>
      </c>
      <c r="AF54" s="1272" t="str">
        <f>_xlfn.CONCAT(AF$2,$K54,AF$3)</f>
        <v>CAL-L21MM-NEW</v>
      </c>
      <c r="AG54" s="1274" t="str">
        <f>_xlfn.CONCAT(AG$2,$K54,AG$3)</f>
        <v>CAL-L21MM-CUST</v>
      </c>
    </row>
    <row r="55" spans="2:33" s="658" customFormat="1" x14ac:dyDescent="0.25">
      <c r="B55" s="702">
        <v>1.15E-2</v>
      </c>
      <c r="C55" s="702">
        <v>0.75049999999999994</v>
      </c>
      <c r="D55" s="658" t="str">
        <f t="shared" si="13"/>
        <v>LC5</v>
      </c>
      <c r="E55" s="539">
        <v>740</v>
      </c>
      <c r="F55" s="700">
        <f t="shared" si="20"/>
        <v>1.3</v>
      </c>
      <c r="G55" s="700">
        <f t="shared" si="20"/>
        <v>1.7</v>
      </c>
      <c r="H55"/>
      <c r="I55" s="703">
        <v>17.829999999999998</v>
      </c>
      <c r="J55" s="703">
        <v>25.41</v>
      </c>
      <c r="K55" s="725" t="s">
        <v>1291</v>
      </c>
      <c r="L55" s="539">
        <v>380</v>
      </c>
      <c r="M55" s="700">
        <f t="shared" si="21"/>
        <v>1.5</v>
      </c>
      <c r="N55" s="700">
        <f t="shared" si="21"/>
        <v>2</v>
      </c>
      <c r="O55"/>
      <c r="Q55" s="728" t="s">
        <v>167</v>
      </c>
      <c r="R55" s="715" t="str">
        <f t="shared" si="14"/>
        <v>.0115" - .7505"</v>
      </c>
      <c r="S55" s="719">
        <f t="shared" si="15"/>
        <v>960</v>
      </c>
      <c r="T55" s="175">
        <f t="shared" si="16"/>
        <v>1260</v>
      </c>
      <c r="V55" s="728" t="s">
        <v>147</v>
      </c>
      <c r="W55" s="715" t="str">
        <f t="shared" si="17"/>
        <v>17.83 - 25.41mm</v>
      </c>
      <c r="X55" s="719">
        <f t="shared" si="18"/>
        <v>570</v>
      </c>
      <c r="Y55" s="175">
        <f t="shared" si="19"/>
        <v>760</v>
      </c>
      <c r="AB55" s="1276"/>
      <c r="AC55" s="1277"/>
      <c r="AF55" s="1276"/>
      <c r="AG55" s="1277"/>
    </row>
    <row r="56" spans="2:33" s="658" customFormat="1" x14ac:dyDescent="0.25">
      <c r="B56" s="702">
        <v>6.0999999999999999E-2</v>
      </c>
      <c r="C56" s="702">
        <v>0.75</v>
      </c>
      <c r="D56" s="658" t="str">
        <f t="shared" si="13"/>
        <v>L1</v>
      </c>
      <c r="E56" s="539">
        <v>690</v>
      </c>
      <c r="F56" s="700">
        <f t="shared" si="20"/>
        <v>1.3</v>
      </c>
      <c r="G56" s="700">
        <f t="shared" si="20"/>
        <v>1.7</v>
      </c>
      <c r="H56"/>
      <c r="I56" s="703">
        <v>1.52</v>
      </c>
      <c r="J56" s="703">
        <v>25.4</v>
      </c>
      <c r="K56" s="725" t="s">
        <v>1292</v>
      </c>
      <c r="L56" s="539">
        <v>1195</v>
      </c>
      <c r="M56" s="700">
        <f t="shared" si="21"/>
        <v>1.5</v>
      </c>
      <c r="N56" s="700">
        <f t="shared" si="21"/>
        <v>2</v>
      </c>
      <c r="O56"/>
      <c r="Q56" s="730" t="s">
        <v>132</v>
      </c>
      <c r="R56" s="713" t="str">
        <f t="shared" si="14"/>
        <v>.061" - .750"</v>
      </c>
      <c r="S56" s="717">
        <f t="shared" si="15"/>
        <v>900</v>
      </c>
      <c r="T56" s="710">
        <f t="shared" si="16"/>
        <v>1170</v>
      </c>
      <c r="V56" s="730" t="s">
        <v>149</v>
      </c>
      <c r="W56" s="713" t="str">
        <f t="shared" si="17"/>
        <v>1.52 - 25.40mm</v>
      </c>
      <c r="X56" s="717">
        <f t="shared" si="18"/>
        <v>1790</v>
      </c>
      <c r="Y56" s="710">
        <f t="shared" si="19"/>
        <v>2390</v>
      </c>
      <c r="AB56" s="1270" t="str">
        <f>_xlfn.CONCAT(AB$2,$D56,AB$3)</f>
        <v>CAL-L1-NEW</v>
      </c>
      <c r="AC56" s="1271" t="str">
        <f>_xlfn.CONCAT(AC$2,$D56,AC$3)</f>
        <v>CAL-L1-CUST</v>
      </c>
      <c r="AF56" s="1270" t="str">
        <f>_xlfn.CONCAT(AF$2,$K56,AF$3)</f>
        <v>CAL-L30MM-NEW</v>
      </c>
      <c r="AG56" s="1271" t="str">
        <f>_xlfn.CONCAT(AG$2,$K56,AG$3)</f>
        <v>CAL-L30MM-CUST</v>
      </c>
    </row>
    <row r="57" spans="2:33" s="658" customFormat="1" x14ac:dyDescent="0.25">
      <c r="B57" s="702">
        <v>6.0999999999999999E-2</v>
      </c>
      <c r="C57" s="702">
        <v>0.75</v>
      </c>
      <c r="D57" s="658" t="str">
        <f t="shared" si="13"/>
        <v>L1</v>
      </c>
      <c r="E57" s="539">
        <v>690</v>
      </c>
      <c r="F57" s="700">
        <f t="shared" si="20"/>
        <v>1.3</v>
      </c>
      <c r="G57" s="700">
        <f t="shared" si="20"/>
        <v>1.7</v>
      </c>
      <c r="H57"/>
      <c r="I57" s="703">
        <v>1.52</v>
      </c>
      <c r="J57" s="703">
        <v>25.4</v>
      </c>
      <c r="K57" s="725" t="s">
        <v>1292</v>
      </c>
      <c r="L57" s="539">
        <v>1195</v>
      </c>
      <c r="M57" s="700">
        <f t="shared" si="21"/>
        <v>1.5</v>
      </c>
      <c r="N57" s="700">
        <f t="shared" si="21"/>
        <v>2</v>
      </c>
      <c r="O57"/>
      <c r="Q57" s="730" t="s">
        <v>134</v>
      </c>
      <c r="R57" s="713" t="str">
        <f t="shared" si="14"/>
        <v>.061" - .750"</v>
      </c>
      <c r="S57" s="717">
        <f t="shared" si="15"/>
        <v>900</v>
      </c>
      <c r="T57" s="710">
        <f t="shared" si="16"/>
        <v>1170</v>
      </c>
      <c r="V57" s="730" t="s">
        <v>151</v>
      </c>
      <c r="W57" s="713" t="str">
        <f t="shared" si="17"/>
        <v>1.52 - 25.40mm</v>
      </c>
      <c r="X57" s="717">
        <f t="shared" si="18"/>
        <v>1790</v>
      </c>
      <c r="Y57" s="710">
        <f t="shared" si="19"/>
        <v>2390</v>
      </c>
      <c r="AB57" s="1270"/>
      <c r="AC57" s="1271"/>
      <c r="AF57" s="1270"/>
      <c r="AG57" s="1271"/>
    </row>
    <row r="58" spans="2:33" s="658" customFormat="1" x14ac:dyDescent="0.25">
      <c r="B58" s="702">
        <v>6.1499999999999999E-2</v>
      </c>
      <c r="C58" s="702">
        <v>0.75049999999999994</v>
      </c>
      <c r="D58" s="658" t="str">
        <f t="shared" si="13"/>
        <v>L15</v>
      </c>
      <c r="E58" s="539">
        <v>690</v>
      </c>
      <c r="F58" s="700">
        <f t="shared" si="20"/>
        <v>1.3</v>
      </c>
      <c r="G58" s="700">
        <f t="shared" si="20"/>
        <v>1.7</v>
      </c>
      <c r="H58"/>
      <c r="I58" s="703">
        <v>1.53</v>
      </c>
      <c r="J58" s="703">
        <v>25.41</v>
      </c>
      <c r="K58" s="725" t="s">
        <v>1293</v>
      </c>
      <c r="L58" s="539">
        <v>1195</v>
      </c>
      <c r="M58" s="700">
        <f t="shared" si="21"/>
        <v>1.5</v>
      </c>
      <c r="N58" s="700">
        <f t="shared" si="21"/>
        <v>2</v>
      </c>
      <c r="O58"/>
      <c r="Q58" s="711" t="s">
        <v>136</v>
      </c>
      <c r="R58" s="714" t="str">
        <f t="shared" si="14"/>
        <v>.0615" - .7505"</v>
      </c>
      <c r="S58" s="718">
        <f t="shared" si="15"/>
        <v>900</v>
      </c>
      <c r="T58" s="712">
        <f t="shared" si="16"/>
        <v>1170</v>
      </c>
      <c r="V58" s="711" t="s">
        <v>153</v>
      </c>
      <c r="W58" s="714" t="str">
        <f t="shared" si="17"/>
        <v>1.53 - 25.41mm</v>
      </c>
      <c r="X58" s="718">
        <f t="shared" si="18"/>
        <v>1790</v>
      </c>
      <c r="Y58" s="712">
        <f t="shared" si="19"/>
        <v>2390</v>
      </c>
      <c r="AB58" s="1272" t="str">
        <f>_xlfn.CONCAT(AB$2,$D58,AB$3)</f>
        <v>CAL-L15-NEW</v>
      </c>
      <c r="AC58" s="1274" t="str">
        <f>_xlfn.CONCAT(AC$2,$D58,AC$3)</f>
        <v>CAL-L15-CUST</v>
      </c>
      <c r="AF58" s="1272" t="str">
        <f>_xlfn.CONCAT(AF$2,$K58,AF$3)</f>
        <v>CAL-L31MM-NEW</v>
      </c>
      <c r="AG58" s="1274" t="str">
        <f>_xlfn.CONCAT(AG$2,$K58,AG$3)</f>
        <v>CAL-L31MM-CUST</v>
      </c>
    </row>
    <row r="59" spans="2:33" s="658" customFormat="1" ht="15.75" thickBot="1" x14ac:dyDescent="0.3">
      <c r="B59" s="702">
        <v>6.1499999999999999E-2</v>
      </c>
      <c r="C59" s="702">
        <v>0.75049999999999994</v>
      </c>
      <c r="D59" s="658" t="str">
        <f t="shared" si="13"/>
        <v>L15</v>
      </c>
      <c r="E59" s="539">
        <v>690</v>
      </c>
      <c r="F59" s="700">
        <f t="shared" si="20"/>
        <v>1.3</v>
      </c>
      <c r="G59" s="700">
        <f t="shared" si="20"/>
        <v>1.7</v>
      </c>
      <c r="H59"/>
      <c r="I59" s="703">
        <v>1.53</v>
      </c>
      <c r="J59" s="703">
        <v>25.41</v>
      </c>
      <c r="K59" s="725" t="s">
        <v>1293</v>
      </c>
      <c r="L59" s="539">
        <v>1195</v>
      </c>
      <c r="M59" s="700">
        <f t="shared" si="21"/>
        <v>1.5</v>
      </c>
      <c r="N59" s="700">
        <f t="shared" si="21"/>
        <v>2</v>
      </c>
      <c r="O59"/>
      <c r="Q59" s="728" t="s">
        <v>138</v>
      </c>
      <c r="R59" s="715" t="str">
        <f t="shared" si="14"/>
        <v>.0615" - .7505"</v>
      </c>
      <c r="S59" s="719">
        <f t="shared" si="15"/>
        <v>900</v>
      </c>
      <c r="T59" s="175">
        <f t="shared" si="16"/>
        <v>1170</v>
      </c>
      <c r="V59" s="729" t="s">
        <v>155</v>
      </c>
      <c r="W59" s="716" t="str">
        <f t="shared" si="17"/>
        <v>1.53 - 25.41mm</v>
      </c>
      <c r="X59" s="720">
        <f t="shared" si="18"/>
        <v>1790</v>
      </c>
      <c r="Y59" s="178">
        <f t="shared" si="19"/>
        <v>2390</v>
      </c>
      <c r="AB59" s="1276"/>
      <c r="AC59" s="1277"/>
      <c r="AF59" s="1273"/>
      <c r="AG59" s="1275"/>
    </row>
    <row r="60" spans="2:33" s="658" customFormat="1" x14ac:dyDescent="0.25">
      <c r="B60" s="702">
        <v>1.0999999999999999E-2</v>
      </c>
      <c r="C60" s="702">
        <v>0.50049999999999994</v>
      </c>
      <c r="D60" s="658" t="str">
        <f t="shared" si="13"/>
        <v>L2C</v>
      </c>
      <c r="E60" s="539">
        <v>980</v>
      </c>
      <c r="F60" s="700">
        <f t="shared" si="20"/>
        <v>1.3</v>
      </c>
      <c r="G60" s="700">
        <f t="shared" si="20"/>
        <v>1.7</v>
      </c>
      <c r="H60"/>
      <c r="I60"/>
      <c r="J60"/>
      <c r="K60" s="13"/>
      <c r="L60" s="18"/>
      <c r="M60"/>
      <c r="N60"/>
      <c r="O60"/>
      <c r="Q60" s="730" t="s">
        <v>144</v>
      </c>
      <c r="R60" s="721" t="str">
        <f t="shared" si="14"/>
        <v>.011" - .5005"</v>
      </c>
      <c r="S60" s="723">
        <f t="shared" si="15"/>
        <v>1270</v>
      </c>
      <c r="T60" s="710">
        <f t="shared" si="16"/>
        <v>1670</v>
      </c>
      <c r="AB60" s="1270" t="str">
        <f>_xlfn.CONCAT(AB$2,$D60,AB$3)</f>
        <v>CAL-L2C-NEW</v>
      </c>
      <c r="AC60" s="1271" t="str">
        <f>_xlfn.CONCAT(AC$2,$D60,AC$3)</f>
        <v>CAL-L2C-CUST</v>
      </c>
      <c r="AF60" s="734"/>
      <c r="AG60" s="734"/>
    </row>
    <row r="61" spans="2:33" s="658" customFormat="1" x14ac:dyDescent="0.25">
      <c r="B61" s="702">
        <v>1.0999999999999999E-2</v>
      </c>
      <c r="C61" s="702">
        <v>0.50049999999999994</v>
      </c>
      <c r="D61" s="658" t="str">
        <f t="shared" si="13"/>
        <v>L2C</v>
      </c>
      <c r="E61" s="539">
        <v>980</v>
      </c>
      <c r="F61" s="700">
        <f t="shared" si="20"/>
        <v>1.3</v>
      </c>
      <c r="G61" s="700">
        <f t="shared" si="20"/>
        <v>1.7</v>
      </c>
      <c r="H61"/>
      <c r="I61"/>
      <c r="J61"/>
      <c r="K61" s="13"/>
      <c r="L61" s="18"/>
      <c r="M61"/>
      <c r="N61"/>
      <c r="O61"/>
      <c r="Q61" s="730" t="s">
        <v>146</v>
      </c>
      <c r="R61" s="722" t="str">
        <f t="shared" si="14"/>
        <v>.011" - .5005"</v>
      </c>
      <c r="S61" s="724">
        <f t="shared" si="15"/>
        <v>1270</v>
      </c>
      <c r="T61" s="710">
        <f t="shared" si="16"/>
        <v>1670</v>
      </c>
      <c r="AB61" s="1270"/>
      <c r="AC61" s="1271"/>
      <c r="AF61" s="734"/>
      <c r="AG61" s="734"/>
    </row>
    <row r="62" spans="2:33" s="658" customFormat="1" x14ac:dyDescent="0.25">
      <c r="B62" s="702">
        <v>6.0999999999999999E-2</v>
      </c>
      <c r="C62" s="702">
        <v>0.50049999999999994</v>
      </c>
      <c r="D62" s="658" t="str">
        <f t="shared" si="13"/>
        <v>L2</v>
      </c>
      <c r="E62" s="539">
        <v>880</v>
      </c>
      <c r="F62" s="700">
        <f t="shared" si="20"/>
        <v>1.3</v>
      </c>
      <c r="G62" s="700">
        <f t="shared" si="20"/>
        <v>1.7</v>
      </c>
      <c r="H62"/>
      <c r="I62"/>
      <c r="J62"/>
      <c r="K62"/>
      <c r="L62" s="18"/>
      <c r="M62"/>
      <c r="N62"/>
      <c r="O62"/>
      <c r="Q62" s="711" t="s">
        <v>140</v>
      </c>
      <c r="R62" s="714" t="str">
        <f t="shared" si="14"/>
        <v>.061" - .5005"</v>
      </c>
      <c r="S62" s="718">
        <f t="shared" si="15"/>
        <v>1140</v>
      </c>
      <c r="T62" s="712">
        <f t="shared" si="16"/>
        <v>1500</v>
      </c>
      <c r="AB62" s="1272" t="str">
        <f>_xlfn.CONCAT(AB$2,$D62,AB$3)</f>
        <v>CAL-L2-NEW</v>
      </c>
      <c r="AC62" s="1274" t="str">
        <f>_xlfn.CONCAT(AC$2,$D62,AC$3)</f>
        <v>CAL-L2-CUST</v>
      </c>
      <c r="AF62" s="734"/>
      <c r="AG62" s="734"/>
    </row>
    <row r="63" spans="2:33" s="658" customFormat="1" x14ac:dyDescent="0.25">
      <c r="B63" s="702">
        <v>6.0999999999999999E-2</v>
      </c>
      <c r="C63" s="702">
        <v>0.50049999999999994</v>
      </c>
      <c r="D63" s="658" t="str">
        <f t="shared" si="13"/>
        <v>L2</v>
      </c>
      <c r="E63" s="539">
        <v>880</v>
      </c>
      <c r="F63" s="700">
        <f t="shared" si="20"/>
        <v>1.3</v>
      </c>
      <c r="G63" s="700">
        <f t="shared" si="20"/>
        <v>1.7</v>
      </c>
      <c r="H63"/>
      <c r="I63"/>
      <c r="J63"/>
      <c r="K63"/>
      <c r="L63" s="18"/>
      <c r="M63"/>
      <c r="N63"/>
      <c r="O63"/>
      <c r="Q63" s="728" t="s">
        <v>142</v>
      </c>
      <c r="R63" s="715" t="str">
        <f t="shared" si="14"/>
        <v>.061" - .5005"</v>
      </c>
      <c r="S63" s="719">
        <f t="shared" si="15"/>
        <v>1140</v>
      </c>
      <c r="T63" s="175">
        <f t="shared" si="16"/>
        <v>1500</v>
      </c>
      <c r="AB63" s="1276"/>
      <c r="AC63" s="1277"/>
      <c r="AF63" s="734"/>
      <c r="AG63" s="734"/>
    </row>
    <row r="64" spans="2:33" s="658" customFormat="1" x14ac:dyDescent="0.25">
      <c r="B64" s="702">
        <v>6.0999999999999999E-2</v>
      </c>
      <c r="C64" s="702">
        <v>1</v>
      </c>
      <c r="D64" s="658" t="str">
        <f t="shared" si="13"/>
        <v>L3</v>
      </c>
      <c r="E64" s="539">
        <v>940</v>
      </c>
      <c r="F64" s="700">
        <f t="shared" si="20"/>
        <v>1.3</v>
      </c>
      <c r="G64" s="700">
        <f t="shared" si="20"/>
        <v>1.7</v>
      </c>
      <c r="H64"/>
      <c r="I64"/>
      <c r="J64"/>
      <c r="K64"/>
      <c r="L64" s="18"/>
      <c r="M64"/>
      <c r="N64"/>
      <c r="O64"/>
      <c r="Q64" s="730" t="s">
        <v>148</v>
      </c>
      <c r="R64" s="713" t="str">
        <f t="shared" si="14"/>
        <v>.061" - 1.000"</v>
      </c>
      <c r="S64" s="717">
        <f t="shared" si="15"/>
        <v>1220</v>
      </c>
      <c r="T64" s="710">
        <f t="shared" si="16"/>
        <v>1600</v>
      </c>
      <c r="AB64" s="1270" t="str">
        <f>_xlfn.CONCAT(AB$2,$D64,AB$3)</f>
        <v>CAL-L3-NEW</v>
      </c>
      <c r="AC64" s="1271" t="str">
        <f>_xlfn.CONCAT(AC$2,$D64,AC$3)</f>
        <v>CAL-L3-CUST</v>
      </c>
      <c r="AF64" s="734"/>
      <c r="AG64" s="734"/>
    </row>
    <row r="65" spans="2:33" s="658" customFormat="1" x14ac:dyDescent="0.25">
      <c r="B65" s="702">
        <v>6.0999999999999999E-2</v>
      </c>
      <c r="C65" s="702">
        <v>1</v>
      </c>
      <c r="D65" s="658" t="str">
        <f t="shared" si="13"/>
        <v>L3</v>
      </c>
      <c r="E65" s="539">
        <v>940</v>
      </c>
      <c r="F65" s="700">
        <f t="shared" si="20"/>
        <v>1.3</v>
      </c>
      <c r="G65" s="700">
        <f t="shared" si="20"/>
        <v>1.7</v>
      </c>
      <c r="H65"/>
      <c r="I65"/>
      <c r="J65"/>
      <c r="K65"/>
      <c r="L65" s="18"/>
      <c r="M65"/>
      <c r="N65"/>
      <c r="O65"/>
      <c r="Q65" s="730" t="s">
        <v>150</v>
      </c>
      <c r="R65" s="713" t="str">
        <f t="shared" si="14"/>
        <v>.061" - 1.000"</v>
      </c>
      <c r="S65" s="717">
        <f t="shared" si="15"/>
        <v>1220</v>
      </c>
      <c r="T65" s="710">
        <f t="shared" si="16"/>
        <v>1600</v>
      </c>
      <c r="AB65" s="1270"/>
      <c r="AC65" s="1271"/>
      <c r="AF65" s="734"/>
      <c r="AG65" s="734"/>
    </row>
    <row r="66" spans="2:33" s="658" customFormat="1" x14ac:dyDescent="0.25">
      <c r="B66" s="702">
        <v>6.1499999999999999E-2</v>
      </c>
      <c r="C66" s="702">
        <v>1.0004999999999999</v>
      </c>
      <c r="D66" s="658" t="str">
        <f t="shared" si="13"/>
        <v>L35</v>
      </c>
      <c r="E66" s="539">
        <v>940</v>
      </c>
      <c r="F66" s="700">
        <f t="shared" ref="F66:G75" si="22">F65</f>
        <v>1.3</v>
      </c>
      <c r="G66" s="700">
        <f t="shared" si="22"/>
        <v>1.7</v>
      </c>
      <c r="H66"/>
      <c r="I66"/>
      <c r="J66"/>
      <c r="K66"/>
      <c r="L66" s="18"/>
      <c r="M66"/>
      <c r="N66"/>
      <c r="O66"/>
      <c r="Q66" s="711" t="s">
        <v>152</v>
      </c>
      <c r="R66" s="714" t="str">
        <f t="shared" si="14"/>
        <v>.0615" - 1.0005"</v>
      </c>
      <c r="S66" s="718">
        <f t="shared" si="15"/>
        <v>1220</v>
      </c>
      <c r="T66" s="712">
        <f t="shared" si="16"/>
        <v>1600</v>
      </c>
      <c r="AB66" s="1272" t="str">
        <f>_xlfn.CONCAT(AB$2,$D66,AB$3)</f>
        <v>CAL-L35-NEW</v>
      </c>
      <c r="AC66" s="1274" t="str">
        <f>_xlfn.CONCAT(AC$2,$D66,AC$3)</f>
        <v>CAL-L35-CUST</v>
      </c>
      <c r="AF66" s="734"/>
      <c r="AG66" s="734"/>
    </row>
    <row r="67" spans="2:33" s="658" customFormat="1" x14ac:dyDescent="0.25">
      <c r="B67" s="702">
        <v>6.1499999999999999E-2</v>
      </c>
      <c r="C67" s="702">
        <v>1.0004999999999999</v>
      </c>
      <c r="D67" s="658" t="str">
        <f t="shared" si="13"/>
        <v>L35</v>
      </c>
      <c r="E67" s="539">
        <v>940</v>
      </c>
      <c r="F67" s="700">
        <f t="shared" si="22"/>
        <v>1.3</v>
      </c>
      <c r="G67" s="700">
        <f t="shared" si="22"/>
        <v>1.7</v>
      </c>
      <c r="H67"/>
      <c r="I67"/>
      <c r="J67"/>
      <c r="K67"/>
      <c r="L67" s="18"/>
      <c r="M67"/>
      <c r="N67"/>
      <c r="O67"/>
      <c r="Q67" s="728" t="s">
        <v>154</v>
      </c>
      <c r="R67" s="715" t="str">
        <f t="shared" si="14"/>
        <v>.0615" - 1.0005"</v>
      </c>
      <c r="S67" s="719">
        <f t="shared" si="15"/>
        <v>1220</v>
      </c>
      <c r="T67" s="175">
        <f t="shared" si="16"/>
        <v>1600</v>
      </c>
      <c r="AB67" s="1276"/>
      <c r="AC67" s="1277"/>
      <c r="AF67" s="734"/>
      <c r="AG67" s="734"/>
    </row>
    <row r="68" spans="2:33" s="658" customFormat="1" x14ac:dyDescent="0.25">
      <c r="B68" s="702">
        <v>1.0999999999999999E-2</v>
      </c>
      <c r="C68" s="702">
        <v>1</v>
      </c>
      <c r="D68" s="658" t="str">
        <f t="shared" si="13"/>
        <v>L4</v>
      </c>
      <c r="E68" s="539">
        <v>990</v>
      </c>
      <c r="F68" s="700">
        <f t="shared" si="22"/>
        <v>1.3</v>
      </c>
      <c r="G68" s="700">
        <f t="shared" si="22"/>
        <v>1.7</v>
      </c>
      <c r="H68"/>
      <c r="I68"/>
      <c r="J68"/>
      <c r="K68"/>
      <c r="L68" s="18"/>
      <c r="M68"/>
      <c r="N68"/>
      <c r="O68"/>
      <c r="Q68" s="730" t="s">
        <v>156</v>
      </c>
      <c r="R68" s="713" t="str">
        <f t="shared" si="14"/>
        <v>.011" - 1.000"</v>
      </c>
      <c r="S68" s="717">
        <f t="shared" si="15"/>
        <v>1290</v>
      </c>
      <c r="T68" s="710">
        <f t="shared" si="16"/>
        <v>1680</v>
      </c>
      <c r="AB68" s="1270" t="str">
        <f>_xlfn.CONCAT(AB$2,$D68,AB$3)</f>
        <v>CAL-L4-NEW</v>
      </c>
      <c r="AC68" s="1271" t="str">
        <f>_xlfn.CONCAT(AC$2,$D68,AC$3)</f>
        <v>CAL-L4-CUST</v>
      </c>
      <c r="AF68" s="734"/>
      <c r="AG68" s="734"/>
    </row>
    <row r="69" spans="2:33" s="658" customFormat="1" x14ac:dyDescent="0.25">
      <c r="B69" s="702">
        <v>1.0999999999999999E-2</v>
      </c>
      <c r="C69" s="702">
        <v>1</v>
      </c>
      <c r="D69" s="658" t="str">
        <f t="shared" si="13"/>
        <v>L4</v>
      </c>
      <c r="E69" s="539">
        <v>990</v>
      </c>
      <c r="F69" s="700">
        <f t="shared" si="22"/>
        <v>1.3</v>
      </c>
      <c r="G69" s="700">
        <f t="shared" si="22"/>
        <v>1.7</v>
      </c>
      <c r="H69"/>
      <c r="I69"/>
      <c r="J69"/>
      <c r="K69"/>
      <c r="L69" s="18"/>
      <c r="M69"/>
      <c r="N69"/>
      <c r="O69"/>
      <c r="Q69" s="730" t="s">
        <v>157</v>
      </c>
      <c r="R69" s="713" t="str">
        <f t="shared" si="14"/>
        <v>.011" - 1.000"</v>
      </c>
      <c r="S69" s="717">
        <f t="shared" si="15"/>
        <v>1290</v>
      </c>
      <c r="T69" s="710">
        <f t="shared" si="16"/>
        <v>1680</v>
      </c>
      <c r="AB69" s="1270"/>
      <c r="AC69" s="1271"/>
      <c r="AF69" s="734"/>
      <c r="AG69" s="734"/>
    </row>
    <row r="70" spans="2:33" s="658" customFormat="1" x14ac:dyDescent="0.25">
      <c r="B70" s="702">
        <v>1.15E-2</v>
      </c>
      <c r="C70" s="702">
        <v>1.0004999999999999</v>
      </c>
      <c r="D70" s="658" t="str">
        <f t="shared" si="13"/>
        <v>L45</v>
      </c>
      <c r="E70" s="539">
        <v>990</v>
      </c>
      <c r="F70" s="700">
        <f t="shared" si="22"/>
        <v>1.3</v>
      </c>
      <c r="G70" s="700">
        <f t="shared" si="22"/>
        <v>1.7</v>
      </c>
      <c r="H70"/>
      <c r="I70"/>
      <c r="J70"/>
      <c r="K70"/>
      <c r="L70" s="18"/>
      <c r="M70"/>
      <c r="N70"/>
      <c r="O70"/>
      <c r="Q70" s="711" t="s">
        <v>158</v>
      </c>
      <c r="R70" s="714" t="str">
        <f t="shared" si="14"/>
        <v>.0115" - 1.0005"</v>
      </c>
      <c r="S70" s="718">
        <f t="shared" si="15"/>
        <v>1290</v>
      </c>
      <c r="T70" s="712">
        <f t="shared" si="16"/>
        <v>1680</v>
      </c>
      <c r="AB70" s="1272" t="str">
        <f>_xlfn.CONCAT(AB$2,$D70,AB$3)</f>
        <v>CAL-L45-NEW</v>
      </c>
      <c r="AC70" s="1274" t="str">
        <f>_xlfn.CONCAT(AC$2,$D70,AC$3)</f>
        <v>CAL-L45-CUST</v>
      </c>
      <c r="AF70" s="734"/>
      <c r="AG70" s="734"/>
    </row>
    <row r="71" spans="2:33" s="658" customFormat="1" x14ac:dyDescent="0.25">
      <c r="B71" s="702">
        <v>1.15E-2</v>
      </c>
      <c r="C71" s="702">
        <v>1.0004999999999999</v>
      </c>
      <c r="D71" s="658" t="str">
        <f t="shared" si="13"/>
        <v>L45</v>
      </c>
      <c r="E71" s="539">
        <v>990</v>
      </c>
      <c r="F71" s="700">
        <f t="shared" si="22"/>
        <v>1.3</v>
      </c>
      <c r="G71" s="700">
        <f t="shared" si="22"/>
        <v>1.7</v>
      </c>
      <c r="H71"/>
      <c r="I71"/>
      <c r="J71"/>
      <c r="K71"/>
      <c r="L71" s="18"/>
      <c r="M71"/>
      <c r="N71"/>
      <c r="O71"/>
      <c r="Q71" s="728" t="s">
        <v>159</v>
      </c>
      <c r="R71" s="715" t="str">
        <f t="shared" si="14"/>
        <v>.0115" - 1.0005"</v>
      </c>
      <c r="S71" s="719">
        <f t="shared" si="15"/>
        <v>1290</v>
      </c>
      <c r="T71" s="175">
        <f t="shared" si="16"/>
        <v>1680</v>
      </c>
      <c r="AB71" s="1276"/>
      <c r="AC71" s="1277"/>
      <c r="AF71" s="734"/>
      <c r="AG71" s="734"/>
    </row>
    <row r="72" spans="2:33" s="658" customFormat="1" x14ac:dyDescent="0.25">
      <c r="B72" s="702">
        <v>0.751</v>
      </c>
      <c r="C72" s="702">
        <v>1</v>
      </c>
      <c r="D72" s="658" t="str">
        <f t="shared" si="13"/>
        <v>L5</v>
      </c>
      <c r="E72" s="539">
        <v>250</v>
      </c>
      <c r="F72" s="700">
        <f t="shared" si="22"/>
        <v>1.3</v>
      </c>
      <c r="G72" s="700">
        <f t="shared" si="22"/>
        <v>1.7</v>
      </c>
      <c r="H72"/>
      <c r="I72"/>
      <c r="J72"/>
      <c r="K72"/>
      <c r="L72" s="18"/>
      <c r="M72"/>
      <c r="N72"/>
      <c r="O72"/>
      <c r="Q72" s="730" t="s">
        <v>160</v>
      </c>
      <c r="R72" s="713" t="str">
        <f t="shared" si="14"/>
        <v>.751" - 1.000"</v>
      </c>
      <c r="S72" s="717">
        <f t="shared" si="15"/>
        <v>330</v>
      </c>
      <c r="T72" s="710">
        <f t="shared" si="16"/>
        <v>430</v>
      </c>
      <c r="AB72" s="1270" t="str">
        <f>_xlfn.CONCAT(AB$2,$D72,AB$3)</f>
        <v>CAL-L5-NEW</v>
      </c>
      <c r="AC72" s="1271" t="str">
        <f>_xlfn.CONCAT(AC$2,$D72,AC$3)</f>
        <v>CAL-L5-CUST</v>
      </c>
      <c r="AF72" s="734"/>
      <c r="AG72" s="734"/>
    </row>
    <row r="73" spans="2:33" s="658" customFormat="1" x14ac:dyDescent="0.25">
      <c r="B73" s="702">
        <v>0.751</v>
      </c>
      <c r="C73" s="702">
        <v>1</v>
      </c>
      <c r="D73" s="658" t="str">
        <f t="shared" si="13"/>
        <v>L5</v>
      </c>
      <c r="E73" s="539">
        <v>250</v>
      </c>
      <c r="F73" s="700">
        <f t="shared" si="22"/>
        <v>1.3</v>
      </c>
      <c r="G73" s="700">
        <f t="shared" si="22"/>
        <v>1.7</v>
      </c>
      <c r="H73"/>
      <c r="I73"/>
      <c r="J73"/>
      <c r="K73"/>
      <c r="L73" s="18"/>
      <c r="M73"/>
      <c r="N73"/>
      <c r="O73"/>
      <c r="Q73" s="730" t="s">
        <v>161</v>
      </c>
      <c r="R73" s="713" t="str">
        <f t="shared" si="14"/>
        <v>.751" - 1.000"</v>
      </c>
      <c r="S73" s="717">
        <f t="shared" si="15"/>
        <v>330</v>
      </c>
      <c r="T73" s="710">
        <f t="shared" si="16"/>
        <v>430</v>
      </c>
      <c r="AB73" s="1270"/>
      <c r="AC73" s="1271"/>
      <c r="AF73" s="734"/>
      <c r="AG73" s="734"/>
    </row>
    <row r="74" spans="2:33" s="658" customFormat="1" x14ac:dyDescent="0.25">
      <c r="B74" s="702">
        <v>0.75149999999999995</v>
      </c>
      <c r="C74" s="702">
        <v>1.0004999999999999</v>
      </c>
      <c r="D74" s="658" t="str">
        <f t="shared" si="13"/>
        <v>L55</v>
      </c>
      <c r="E74" s="539">
        <v>250</v>
      </c>
      <c r="F74" s="700">
        <f t="shared" si="22"/>
        <v>1.3</v>
      </c>
      <c r="G74" s="700">
        <f t="shared" si="22"/>
        <v>1.7</v>
      </c>
      <c r="H74"/>
      <c r="I74"/>
      <c r="J74"/>
      <c r="K74"/>
      <c r="L74" s="18"/>
      <c r="M74"/>
      <c r="N74"/>
      <c r="O74"/>
      <c r="Q74" s="711" t="s">
        <v>162</v>
      </c>
      <c r="R74" s="714" t="str">
        <f t="shared" si="14"/>
        <v>.7515" - 1.0005"</v>
      </c>
      <c r="S74" s="718">
        <f t="shared" si="15"/>
        <v>330</v>
      </c>
      <c r="T74" s="712">
        <f t="shared" si="16"/>
        <v>430</v>
      </c>
      <c r="AB74" s="1272" t="str">
        <f>_xlfn.CONCAT(AB$2,$D74,AB$3)</f>
        <v>CAL-L55-NEW</v>
      </c>
      <c r="AC74" s="1274" t="str">
        <f>_xlfn.CONCAT(AC$2,$D74,AC$3)</f>
        <v>CAL-L55-CUST</v>
      </c>
      <c r="AF74" s="734"/>
      <c r="AG74" s="734"/>
    </row>
    <row r="75" spans="2:33" s="658" customFormat="1" ht="15.75" thickBot="1" x14ac:dyDescent="0.3">
      <c r="B75" s="702">
        <v>0.75149999999999995</v>
      </c>
      <c r="C75" s="702">
        <v>1.0004999999999999</v>
      </c>
      <c r="D75" s="658" t="str">
        <f t="shared" si="13"/>
        <v>L55</v>
      </c>
      <c r="E75" s="539">
        <v>250</v>
      </c>
      <c r="F75" s="700">
        <f t="shared" si="22"/>
        <v>1.3</v>
      </c>
      <c r="G75" s="700">
        <f t="shared" si="22"/>
        <v>1.7</v>
      </c>
      <c r="H75"/>
      <c r="I75"/>
      <c r="J75"/>
      <c r="K75"/>
      <c r="L75" s="18"/>
      <c r="M75"/>
      <c r="N75"/>
      <c r="O75"/>
      <c r="Q75" s="729" t="s">
        <v>163</v>
      </c>
      <c r="R75" s="716" t="str">
        <f t="shared" si="14"/>
        <v>.7515" - 1.0005"</v>
      </c>
      <c r="S75" s="720">
        <f t="shared" si="15"/>
        <v>330</v>
      </c>
      <c r="T75" s="178">
        <f t="shared" si="16"/>
        <v>430</v>
      </c>
      <c r="AB75" s="1273"/>
      <c r="AC75" s="1275"/>
      <c r="AF75" s="734"/>
      <c r="AG75" s="734"/>
    </row>
    <row r="76" spans="2:33" s="658" customFormat="1" x14ac:dyDescent="0.25">
      <c r="F76" s="708"/>
      <c r="G76" s="708"/>
      <c r="H76"/>
      <c r="I76"/>
      <c r="J76"/>
      <c r="K76"/>
      <c r="L76" s="18"/>
      <c r="M76"/>
      <c r="N76"/>
      <c r="O76"/>
      <c r="S76" s="700"/>
      <c r="T76" s="700"/>
      <c r="AB76" s="734"/>
      <c r="AC76" s="734"/>
      <c r="AF76" s="1246"/>
      <c r="AG76" s="1246"/>
    </row>
    <row r="77" spans="2:33" s="658" customFormat="1" x14ac:dyDescent="0.25">
      <c r="F77" s="708"/>
      <c r="G77" s="708"/>
      <c r="H77"/>
      <c r="I77"/>
      <c r="J77"/>
      <c r="K77"/>
      <c r="L77" s="18"/>
      <c r="M77"/>
      <c r="N77"/>
      <c r="O77"/>
      <c r="S77" s="700"/>
      <c r="T77" s="700"/>
      <c r="AB77" s="734"/>
      <c r="AC77" s="734"/>
      <c r="AF77" s="1246"/>
      <c r="AG77" s="1246"/>
    </row>
    <row r="78" spans="2:33" s="658" customFormat="1" x14ac:dyDescent="0.25">
      <c r="H78"/>
      <c r="I78"/>
      <c r="J78"/>
      <c r="K78"/>
      <c r="L78" s="18"/>
      <c r="M78"/>
      <c r="N78"/>
      <c r="O78"/>
      <c r="AB78" s="734"/>
      <c r="AC78" s="734"/>
      <c r="AF78" s="1246"/>
      <c r="AG78" s="1246"/>
    </row>
    <row r="79" spans="2:33" s="658" customFormat="1" x14ac:dyDescent="0.25">
      <c r="H79"/>
      <c r="I79"/>
      <c r="J79"/>
      <c r="K79"/>
      <c r="L79" s="18"/>
      <c r="M79"/>
      <c r="N79"/>
      <c r="O79"/>
      <c r="AB79" s="734"/>
      <c r="AC79" s="734"/>
      <c r="AF79" s="1246"/>
      <c r="AG79" s="1246"/>
    </row>
    <row r="80" spans="2:33" s="658" customFormat="1" x14ac:dyDescent="0.25">
      <c r="H80"/>
      <c r="I80"/>
      <c r="J80"/>
      <c r="K80"/>
      <c r="L80" s="18"/>
      <c r="M80"/>
      <c r="N80"/>
      <c r="O80"/>
      <c r="AB80" s="734"/>
      <c r="AC80" s="734"/>
      <c r="AF80" s="734"/>
      <c r="AG80" s="734"/>
    </row>
    <row r="81" spans="6:33" s="658" customFormat="1" x14ac:dyDescent="0.25">
      <c r="H81"/>
      <c r="I81"/>
      <c r="J81"/>
      <c r="K81"/>
      <c r="L81" s="18"/>
      <c r="M81"/>
      <c r="N81"/>
      <c r="O81"/>
      <c r="AB81" s="734"/>
      <c r="AC81" s="734"/>
      <c r="AF81" s="734"/>
      <c r="AG81" s="734"/>
    </row>
    <row r="82" spans="6:33" s="658" customFormat="1" x14ac:dyDescent="0.25">
      <c r="H82"/>
      <c r="I82"/>
      <c r="J82"/>
      <c r="K82"/>
      <c r="L82" s="18"/>
      <c r="M82"/>
      <c r="N82"/>
      <c r="O82"/>
      <c r="AB82" s="734"/>
      <c r="AC82" s="734"/>
      <c r="AF82" s="734"/>
      <c r="AG82" s="734"/>
    </row>
    <row r="83" spans="6:33" s="658" customFormat="1" x14ac:dyDescent="0.25">
      <c r="H83"/>
      <c r="I83"/>
      <c r="J83"/>
      <c r="K83"/>
      <c r="L83" s="18"/>
      <c r="M83"/>
      <c r="N83"/>
      <c r="O83"/>
      <c r="AB83" s="734"/>
      <c r="AC83" s="734"/>
      <c r="AF83" s="734"/>
      <c r="AG83" s="734"/>
    </row>
    <row r="84" spans="6:33" s="658" customFormat="1" x14ac:dyDescent="0.25">
      <c r="H84"/>
      <c r="I84"/>
      <c r="J84"/>
      <c r="K84"/>
      <c r="L84" s="18"/>
      <c r="M84"/>
      <c r="N84"/>
      <c r="O84"/>
      <c r="AB84" s="734"/>
      <c r="AC84" s="734"/>
      <c r="AF84" s="734"/>
      <c r="AG84" s="734"/>
    </row>
    <row r="85" spans="6:33" s="658" customFormat="1" x14ac:dyDescent="0.25">
      <c r="H85"/>
      <c r="I85"/>
      <c r="J85"/>
      <c r="K85"/>
      <c r="L85" s="18"/>
      <c r="M85"/>
      <c r="N85"/>
      <c r="O85"/>
      <c r="AB85" s="734"/>
      <c r="AC85" s="734"/>
      <c r="AF85" s="734"/>
      <c r="AG85" s="734"/>
    </row>
    <row r="86" spans="6:33" s="658" customFormat="1" x14ac:dyDescent="0.25">
      <c r="H86"/>
      <c r="I86"/>
      <c r="J86"/>
      <c r="K86"/>
      <c r="L86" s="18"/>
      <c r="M86"/>
      <c r="N86"/>
      <c r="O86"/>
      <c r="AB86" s="734"/>
      <c r="AC86" s="734"/>
      <c r="AF86" s="734"/>
      <c r="AG86" s="734"/>
    </row>
    <row r="87" spans="6:33" s="658" customFormat="1" x14ac:dyDescent="0.25">
      <c r="H87"/>
      <c r="I87"/>
      <c r="J87"/>
      <c r="K87"/>
      <c r="L87" s="18"/>
      <c r="M87"/>
      <c r="N87"/>
      <c r="O87"/>
      <c r="AB87" s="734"/>
      <c r="AC87" s="734"/>
      <c r="AF87" s="734"/>
      <c r="AG87" s="734"/>
    </row>
    <row r="88" spans="6:33" s="658" customFormat="1" x14ac:dyDescent="0.25">
      <c r="H88"/>
      <c r="I88"/>
      <c r="J88"/>
      <c r="K88"/>
      <c r="L88" s="18"/>
      <c r="M88"/>
      <c r="N88"/>
      <c r="O88"/>
      <c r="AB88" s="734"/>
      <c r="AC88" s="734"/>
      <c r="AF88" s="734"/>
      <c r="AG88" s="734"/>
    </row>
    <row r="89" spans="6:33" s="658" customFormat="1" x14ac:dyDescent="0.25">
      <c r="H89"/>
      <c r="I89"/>
      <c r="J89"/>
      <c r="K89"/>
      <c r="L89" s="18"/>
      <c r="M89"/>
      <c r="N89"/>
      <c r="O89"/>
      <c r="AB89" s="734"/>
      <c r="AC89" s="734"/>
      <c r="AF89" s="734"/>
      <c r="AG89" s="734"/>
    </row>
    <row r="90" spans="6:33" s="658" customFormat="1" x14ac:dyDescent="0.25">
      <c r="H90"/>
      <c r="I90"/>
      <c r="J90"/>
      <c r="K90"/>
      <c r="L90" s="18"/>
      <c r="M90"/>
      <c r="N90"/>
      <c r="O90"/>
      <c r="AB90" s="734"/>
      <c r="AC90" s="734"/>
      <c r="AF90" s="734"/>
      <c r="AG90" s="734"/>
    </row>
    <row r="91" spans="6:33" s="658" customFormat="1" x14ac:dyDescent="0.25">
      <c r="H91"/>
      <c r="I91"/>
      <c r="J91"/>
      <c r="K91"/>
      <c r="L91" s="18"/>
      <c r="M91"/>
      <c r="N91"/>
      <c r="O91"/>
      <c r="AB91" s="734"/>
      <c r="AC91" s="734"/>
      <c r="AF91" s="734"/>
      <c r="AG91" s="734"/>
    </row>
    <row r="92" spans="6:33" s="658" customFormat="1" x14ac:dyDescent="0.25">
      <c r="F92" s="708"/>
      <c r="G92" s="708"/>
      <c r="H92"/>
      <c r="I92"/>
      <c r="J92"/>
      <c r="K92"/>
      <c r="L92" s="18"/>
      <c r="M92"/>
      <c r="N92"/>
      <c r="O92"/>
      <c r="S92" s="700"/>
      <c r="T92" s="700"/>
      <c r="AB92" s="734"/>
      <c r="AC92" s="734"/>
      <c r="AF92" s="734"/>
      <c r="AG92" s="734"/>
    </row>
    <row r="93" spans="6:33" s="658" customFormat="1" x14ac:dyDescent="0.25">
      <c r="F93" s="708"/>
      <c r="G93" s="708"/>
      <c r="H93"/>
      <c r="I93"/>
      <c r="J93"/>
      <c r="K93"/>
      <c r="L93" s="18"/>
      <c r="M93"/>
      <c r="N93"/>
      <c r="O93"/>
      <c r="S93" s="700"/>
      <c r="T93" s="700"/>
      <c r="AB93" s="734"/>
      <c r="AC93" s="734"/>
      <c r="AF93" s="734"/>
      <c r="AG93" s="734"/>
    </row>
    <row r="94" spans="6:33" s="658" customFormat="1" x14ac:dyDescent="0.25">
      <c r="F94" s="708"/>
      <c r="G94" s="708"/>
      <c r="H94"/>
      <c r="I94"/>
      <c r="J94"/>
      <c r="K94"/>
      <c r="L94" s="18"/>
      <c r="M94"/>
      <c r="N94"/>
      <c r="O94"/>
      <c r="S94" s="700"/>
      <c r="T94" s="700"/>
      <c r="AB94" s="734"/>
      <c r="AC94" s="734"/>
      <c r="AF94" s="734"/>
      <c r="AG94" s="734"/>
    </row>
    <row r="95" spans="6:33" s="658" customFormat="1" x14ac:dyDescent="0.25">
      <c r="F95" s="708"/>
      <c r="G95" s="708"/>
      <c r="H95"/>
      <c r="I95"/>
      <c r="J95"/>
      <c r="K95"/>
      <c r="L95" s="18"/>
      <c r="M95"/>
      <c r="N95"/>
      <c r="O95"/>
      <c r="S95" s="700"/>
      <c r="T95" s="700"/>
      <c r="AB95" s="734"/>
      <c r="AC95" s="734"/>
      <c r="AF95" s="734"/>
      <c r="AG95" s="734"/>
    </row>
    <row r="96" spans="6:33" s="658" customFormat="1" x14ac:dyDescent="0.25">
      <c r="F96" s="708"/>
      <c r="G96" s="708"/>
      <c r="H96"/>
      <c r="I96"/>
      <c r="J96"/>
      <c r="K96"/>
      <c r="L96" s="18"/>
      <c r="M96"/>
      <c r="N96"/>
      <c r="O96"/>
      <c r="S96" s="700"/>
      <c r="T96" s="700"/>
      <c r="AB96" s="734"/>
      <c r="AC96" s="734"/>
      <c r="AF96" s="734"/>
      <c r="AG96" s="734"/>
    </row>
    <row r="97" spans="6:33" s="658" customFormat="1" x14ac:dyDescent="0.25">
      <c r="F97" s="708"/>
      <c r="G97" s="708"/>
      <c r="H97"/>
      <c r="I97"/>
      <c r="J97"/>
      <c r="K97"/>
      <c r="L97" s="18"/>
      <c r="M97"/>
      <c r="N97"/>
      <c r="O97"/>
      <c r="S97" s="700"/>
      <c r="T97" s="700"/>
      <c r="AB97" s="734"/>
      <c r="AC97" s="734"/>
      <c r="AF97" s="734"/>
      <c r="AG97" s="734"/>
    </row>
    <row r="98" spans="6:33" s="658" customFormat="1" x14ac:dyDescent="0.25">
      <c r="F98" s="708"/>
      <c r="G98" s="708"/>
      <c r="H98"/>
      <c r="I98"/>
      <c r="J98"/>
      <c r="K98"/>
      <c r="L98" s="18"/>
      <c r="M98"/>
      <c r="N98"/>
      <c r="O98"/>
      <c r="S98" s="700"/>
      <c r="T98" s="700"/>
      <c r="AB98" s="734"/>
      <c r="AC98" s="734"/>
      <c r="AF98" s="734"/>
      <c r="AG98" s="734"/>
    </row>
    <row r="99" spans="6:33" s="658" customFormat="1" x14ac:dyDescent="0.25">
      <c r="F99" s="708"/>
      <c r="G99" s="708"/>
      <c r="H99"/>
      <c r="I99"/>
      <c r="J99"/>
      <c r="K99"/>
      <c r="L99" s="18"/>
      <c r="M99"/>
      <c r="N99"/>
      <c r="O99"/>
      <c r="S99" s="700"/>
      <c r="T99" s="700"/>
      <c r="AB99" s="734"/>
      <c r="AC99" s="734"/>
      <c r="AF99" s="734"/>
      <c r="AG99" s="734"/>
    </row>
    <row r="100" spans="6:33" s="658" customFormat="1" x14ac:dyDescent="0.25">
      <c r="F100" s="708"/>
      <c r="G100" s="708"/>
      <c r="H100"/>
      <c r="I100"/>
      <c r="J100"/>
      <c r="K100"/>
      <c r="L100" s="18"/>
      <c r="M100"/>
      <c r="N100"/>
      <c r="O100"/>
      <c r="S100" s="700"/>
      <c r="T100" s="700"/>
      <c r="AB100" s="734"/>
      <c r="AC100" s="734"/>
      <c r="AF100" s="734"/>
      <c r="AG100" s="734"/>
    </row>
    <row r="101" spans="6:33" s="658" customFormat="1" x14ac:dyDescent="0.25">
      <c r="F101" s="708"/>
      <c r="G101" s="708"/>
      <c r="H101"/>
      <c r="I101"/>
      <c r="J101"/>
      <c r="K101"/>
      <c r="L101" s="18"/>
      <c r="M101"/>
      <c r="N101"/>
      <c r="O101"/>
      <c r="S101" s="700"/>
      <c r="T101" s="700"/>
      <c r="AB101" s="734"/>
      <c r="AC101" s="734"/>
      <c r="AF101" s="734"/>
      <c r="AG101" s="734"/>
    </row>
    <row r="102" spans="6:33" s="658" customFormat="1" x14ac:dyDescent="0.25">
      <c r="F102" s="708"/>
      <c r="G102" s="708"/>
      <c r="H102"/>
      <c r="I102"/>
      <c r="J102"/>
      <c r="K102"/>
      <c r="L102" s="18"/>
      <c r="M102"/>
      <c r="N102"/>
      <c r="O102"/>
      <c r="S102" s="700"/>
      <c r="T102" s="700"/>
      <c r="AB102" s="734"/>
      <c r="AC102" s="734"/>
      <c r="AF102" s="734"/>
      <c r="AG102" s="734"/>
    </row>
    <row r="103" spans="6:33" s="658" customFormat="1" x14ac:dyDescent="0.25">
      <c r="F103" s="708"/>
      <c r="G103" s="708"/>
      <c r="H103"/>
      <c r="I103"/>
      <c r="J103"/>
      <c r="K103"/>
      <c r="L103" s="18"/>
      <c r="M103"/>
      <c r="N103"/>
      <c r="O103"/>
      <c r="S103" s="700"/>
      <c r="T103" s="700"/>
      <c r="AB103" s="734"/>
      <c r="AC103" s="734"/>
      <c r="AF103" s="734"/>
      <c r="AG103" s="734"/>
    </row>
    <row r="104" spans="6:33" s="658" customFormat="1" x14ac:dyDescent="0.25">
      <c r="F104" s="708"/>
      <c r="G104" s="708"/>
      <c r="H104"/>
      <c r="I104"/>
      <c r="J104"/>
      <c r="K104"/>
      <c r="L104" s="18"/>
      <c r="M104"/>
      <c r="N104"/>
      <c r="O104"/>
      <c r="S104" s="700"/>
      <c r="T104" s="700"/>
      <c r="AB104" s="734"/>
      <c r="AC104" s="734"/>
      <c r="AF104" s="734"/>
      <c r="AG104" s="734"/>
    </row>
    <row r="105" spans="6:33" s="658" customFormat="1" x14ac:dyDescent="0.25">
      <c r="F105" s="708"/>
      <c r="G105" s="708"/>
      <c r="H105"/>
      <c r="I105"/>
      <c r="J105"/>
      <c r="K105"/>
      <c r="L105" s="18"/>
      <c r="M105"/>
      <c r="N105"/>
      <c r="O105"/>
      <c r="S105" s="700"/>
      <c r="T105" s="700"/>
      <c r="AB105" s="734"/>
      <c r="AC105" s="734"/>
      <c r="AF105" s="734"/>
      <c r="AG105" s="734"/>
    </row>
    <row r="106" spans="6:33" s="658" customFormat="1" x14ac:dyDescent="0.25">
      <c r="F106" s="708"/>
      <c r="G106" s="708"/>
      <c r="H106"/>
      <c r="I106"/>
      <c r="J106"/>
      <c r="K106"/>
      <c r="L106" s="18"/>
      <c r="M106"/>
      <c r="N106"/>
      <c r="O106"/>
      <c r="S106" s="700"/>
      <c r="T106" s="700"/>
      <c r="AB106" s="734"/>
      <c r="AC106" s="734"/>
      <c r="AF106" s="734"/>
      <c r="AG106" s="734"/>
    </row>
    <row r="107" spans="6:33" s="658" customFormat="1" x14ac:dyDescent="0.25">
      <c r="F107" s="708"/>
      <c r="G107" s="708"/>
      <c r="H107"/>
      <c r="I107"/>
      <c r="J107"/>
      <c r="K107"/>
      <c r="L107" s="18"/>
      <c r="M107"/>
      <c r="N107"/>
      <c r="O107"/>
      <c r="S107" s="700"/>
      <c r="T107" s="700"/>
      <c r="AB107" s="734"/>
      <c r="AC107" s="734"/>
      <c r="AF107" s="734"/>
      <c r="AG107" s="734"/>
    </row>
    <row r="108" spans="6:33" s="658" customFormat="1" x14ac:dyDescent="0.25">
      <c r="F108" s="708"/>
      <c r="G108" s="708"/>
      <c r="H108"/>
      <c r="I108"/>
      <c r="J108"/>
      <c r="K108"/>
      <c r="L108" s="18"/>
      <c r="M108"/>
      <c r="N108"/>
      <c r="O108"/>
      <c r="S108" s="700"/>
      <c r="T108" s="700"/>
      <c r="AB108" s="734"/>
      <c r="AC108" s="734"/>
      <c r="AF108" s="734"/>
      <c r="AG108" s="734"/>
    </row>
    <row r="109" spans="6:33" s="658" customFormat="1" x14ac:dyDescent="0.25">
      <c r="F109" s="708"/>
      <c r="G109" s="708"/>
      <c r="H109"/>
      <c r="I109"/>
      <c r="J109"/>
      <c r="K109"/>
      <c r="L109" s="18"/>
      <c r="M109"/>
      <c r="N109"/>
      <c r="O109"/>
      <c r="S109" s="700"/>
      <c r="T109" s="700"/>
      <c r="AB109" s="734"/>
      <c r="AC109" s="734"/>
      <c r="AF109" s="734"/>
      <c r="AG109" s="734"/>
    </row>
    <row r="110" spans="6:33" s="658" customFormat="1" x14ac:dyDescent="0.25">
      <c r="F110" s="708"/>
      <c r="G110" s="708"/>
      <c r="H110"/>
      <c r="I110"/>
      <c r="J110"/>
      <c r="K110"/>
      <c r="L110" s="18"/>
      <c r="M110"/>
      <c r="N110"/>
      <c r="O110"/>
      <c r="S110" s="700"/>
      <c r="T110" s="700"/>
      <c r="AB110" s="734"/>
      <c r="AC110" s="734"/>
      <c r="AF110" s="734"/>
      <c r="AG110" s="734"/>
    </row>
    <row r="111" spans="6:33" s="658" customFormat="1" x14ac:dyDescent="0.25">
      <c r="F111" s="708"/>
      <c r="G111" s="708"/>
      <c r="H111"/>
      <c r="I111"/>
      <c r="J111"/>
      <c r="K111"/>
      <c r="L111" s="18"/>
      <c r="M111"/>
      <c r="N111"/>
      <c r="O111"/>
      <c r="S111" s="700"/>
      <c r="T111" s="700"/>
      <c r="AB111" s="734"/>
      <c r="AC111" s="734"/>
      <c r="AF111" s="734"/>
      <c r="AG111" s="734"/>
    </row>
    <row r="112" spans="6:33" s="658" customFormat="1" x14ac:dyDescent="0.25">
      <c r="F112" s="708"/>
      <c r="G112" s="708"/>
      <c r="H112"/>
      <c r="I112"/>
      <c r="J112"/>
      <c r="K112"/>
      <c r="L112" s="18"/>
      <c r="M112"/>
      <c r="N112"/>
      <c r="O112"/>
      <c r="S112" s="700"/>
      <c r="T112" s="700"/>
      <c r="AB112" s="734"/>
      <c r="AC112" s="734"/>
      <c r="AF112" s="734"/>
      <c r="AG112" s="734"/>
    </row>
    <row r="113" spans="6:33" s="658" customFormat="1" x14ac:dyDescent="0.25">
      <c r="F113" s="708"/>
      <c r="G113" s="708"/>
      <c r="H113"/>
      <c r="I113"/>
      <c r="J113"/>
      <c r="K113"/>
      <c r="L113" s="18"/>
      <c r="M113"/>
      <c r="N113"/>
      <c r="O113"/>
      <c r="S113" s="700"/>
      <c r="T113" s="700"/>
      <c r="AB113" s="734"/>
      <c r="AC113" s="734"/>
      <c r="AF113" s="734"/>
      <c r="AG113" s="734"/>
    </row>
    <row r="114" spans="6:33" s="658" customFormat="1" x14ac:dyDescent="0.25">
      <c r="F114" s="708"/>
      <c r="G114" s="708"/>
      <c r="H114"/>
      <c r="I114"/>
      <c r="J114"/>
      <c r="K114"/>
      <c r="L114" s="18"/>
      <c r="M114"/>
      <c r="N114"/>
      <c r="O114"/>
      <c r="S114" s="700"/>
      <c r="T114" s="700"/>
      <c r="AB114" s="734"/>
      <c r="AC114" s="734"/>
      <c r="AF114" s="734"/>
      <c r="AG114" s="734"/>
    </row>
    <row r="115" spans="6:33" s="658" customFormat="1" x14ac:dyDescent="0.25">
      <c r="F115" s="708"/>
      <c r="G115" s="708"/>
      <c r="H115"/>
      <c r="I115"/>
      <c r="J115"/>
      <c r="K115"/>
      <c r="L115" s="18"/>
      <c r="M115"/>
      <c r="N115"/>
      <c r="O115"/>
      <c r="S115" s="700"/>
      <c r="T115" s="700"/>
      <c r="AB115" s="734"/>
      <c r="AC115" s="734"/>
      <c r="AF115" s="734"/>
      <c r="AG115" s="734"/>
    </row>
    <row r="116" spans="6:33" s="658" customFormat="1" x14ac:dyDescent="0.25">
      <c r="F116" s="708"/>
      <c r="G116" s="708"/>
      <c r="H116"/>
      <c r="I116"/>
      <c r="J116"/>
      <c r="K116"/>
      <c r="L116" s="18"/>
      <c r="M116"/>
      <c r="N116"/>
      <c r="O116"/>
      <c r="S116" s="700"/>
      <c r="T116" s="700"/>
      <c r="AB116" s="734"/>
      <c r="AC116" s="734"/>
      <c r="AF116" s="734"/>
      <c r="AG116" s="734"/>
    </row>
    <row r="117" spans="6:33" s="658" customFormat="1" x14ac:dyDescent="0.25">
      <c r="F117" s="708"/>
      <c r="G117" s="708"/>
      <c r="H117"/>
      <c r="I117"/>
      <c r="J117"/>
      <c r="K117"/>
      <c r="L117" s="18"/>
      <c r="M117"/>
      <c r="N117"/>
      <c r="O117"/>
      <c r="S117" s="700"/>
      <c r="T117" s="700"/>
      <c r="AB117" s="734"/>
      <c r="AC117" s="734"/>
      <c r="AF117" s="734"/>
      <c r="AG117" s="734"/>
    </row>
    <row r="118" spans="6:33" s="658" customFormat="1" x14ac:dyDescent="0.25">
      <c r="F118" s="708"/>
      <c r="G118" s="708"/>
      <c r="H118"/>
      <c r="I118"/>
      <c r="J118"/>
      <c r="K118"/>
      <c r="L118" s="18"/>
      <c r="M118"/>
      <c r="N118"/>
      <c r="O118"/>
      <c r="S118" s="700"/>
      <c r="T118" s="700"/>
      <c r="AB118" s="734"/>
      <c r="AC118" s="734"/>
      <c r="AF118" s="734"/>
      <c r="AG118" s="734"/>
    </row>
    <row r="119" spans="6:33" s="658" customFormat="1" x14ac:dyDescent="0.25">
      <c r="F119" s="708"/>
      <c r="G119" s="708"/>
      <c r="H119"/>
      <c r="I119"/>
      <c r="J119"/>
      <c r="K119"/>
      <c r="L119" s="18"/>
      <c r="M119"/>
      <c r="N119"/>
      <c r="O119"/>
      <c r="S119" s="700"/>
      <c r="T119" s="700"/>
      <c r="AB119" s="734"/>
      <c r="AC119" s="734"/>
      <c r="AF119" s="734"/>
      <c r="AG119" s="734"/>
    </row>
    <row r="120" spans="6:33" s="658" customFormat="1" x14ac:dyDescent="0.25">
      <c r="F120" s="708"/>
      <c r="G120" s="708"/>
      <c r="H120"/>
      <c r="I120"/>
      <c r="J120"/>
      <c r="K120"/>
      <c r="L120" s="18"/>
      <c r="M120"/>
      <c r="N120"/>
      <c r="O120"/>
      <c r="S120" s="700"/>
      <c r="T120" s="700"/>
      <c r="AB120" s="734"/>
      <c r="AC120" s="734"/>
      <c r="AF120" s="734"/>
      <c r="AG120" s="734"/>
    </row>
    <row r="121" spans="6:33" s="658" customFormat="1" x14ac:dyDescent="0.25">
      <c r="F121" s="708"/>
      <c r="G121" s="708"/>
      <c r="H121"/>
      <c r="I121"/>
      <c r="J121"/>
      <c r="K121"/>
      <c r="L121" s="18"/>
      <c r="M121"/>
      <c r="N121"/>
      <c r="O121"/>
      <c r="S121" s="700"/>
      <c r="T121" s="700"/>
      <c r="AB121" s="734"/>
      <c r="AC121" s="734"/>
      <c r="AF121" s="734"/>
      <c r="AG121" s="734"/>
    </row>
    <row r="122" spans="6:33" s="658" customFormat="1" x14ac:dyDescent="0.25">
      <c r="F122" s="708"/>
      <c r="G122" s="708"/>
      <c r="H122"/>
      <c r="I122"/>
      <c r="J122"/>
      <c r="K122"/>
      <c r="L122" s="18"/>
      <c r="M122"/>
      <c r="N122"/>
      <c r="O122"/>
      <c r="S122" s="700"/>
      <c r="T122" s="700"/>
      <c r="AB122" s="734"/>
      <c r="AC122" s="734"/>
      <c r="AF122" s="734"/>
      <c r="AG122" s="734"/>
    </row>
    <row r="123" spans="6:33" s="658" customFormat="1" x14ac:dyDescent="0.25">
      <c r="F123" s="708"/>
      <c r="G123" s="708"/>
      <c r="H123"/>
      <c r="I123"/>
      <c r="J123"/>
      <c r="K123"/>
      <c r="L123" s="18"/>
      <c r="M123"/>
      <c r="N123"/>
      <c r="O123"/>
      <c r="S123" s="700"/>
      <c r="T123" s="700"/>
      <c r="AB123" s="734"/>
      <c r="AC123" s="734"/>
      <c r="AF123" s="734"/>
      <c r="AG123" s="734"/>
    </row>
    <row r="124" spans="6:33" s="658" customFormat="1" x14ac:dyDescent="0.25">
      <c r="F124" s="708"/>
      <c r="G124" s="708"/>
      <c r="H124"/>
      <c r="I124"/>
      <c r="J124"/>
      <c r="K124"/>
      <c r="L124" s="18"/>
      <c r="M124"/>
      <c r="N124"/>
      <c r="O124"/>
      <c r="S124" s="700"/>
      <c r="T124" s="700"/>
      <c r="AB124" s="734"/>
      <c r="AC124" s="734"/>
      <c r="AF124" s="734"/>
      <c r="AG124" s="734"/>
    </row>
    <row r="125" spans="6:33" s="658" customFormat="1" x14ac:dyDescent="0.25">
      <c r="F125" s="708"/>
      <c r="G125" s="708"/>
      <c r="H125"/>
      <c r="I125"/>
      <c r="J125"/>
      <c r="K125"/>
      <c r="L125" s="18"/>
      <c r="M125"/>
      <c r="N125"/>
      <c r="O125"/>
      <c r="S125" s="700"/>
      <c r="T125" s="700"/>
      <c r="AB125" s="734"/>
      <c r="AC125" s="734"/>
      <c r="AF125" s="734"/>
      <c r="AG125" s="734"/>
    </row>
    <row r="126" spans="6:33" s="658" customFormat="1" x14ac:dyDescent="0.25">
      <c r="F126" s="708"/>
      <c r="G126" s="708"/>
      <c r="H126"/>
      <c r="I126"/>
      <c r="J126"/>
      <c r="K126"/>
      <c r="L126" s="18"/>
      <c r="M126"/>
      <c r="N126"/>
      <c r="O126"/>
      <c r="S126" s="700"/>
      <c r="T126" s="700"/>
      <c r="AB126" s="734"/>
      <c r="AC126" s="734"/>
      <c r="AF126" s="734"/>
      <c r="AG126" s="734"/>
    </row>
    <row r="127" spans="6:33" s="658" customFormat="1" x14ac:dyDescent="0.25">
      <c r="F127" s="708"/>
      <c r="G127" s="708"/>
      <c r="H127"/>
      <c r="I127"/>
      <c r="J127"/>
      <c r="K127"/>
      <c r="L127" s="18"/>
      <c r="M127"/>
      <c r="N127"/>
      <c r="O127"/>
      <c r="S127" s="700"/>
      <c r="T127" s="700"/>
      <c r="AB127" s="734"/>
      <c r="AC127" s="734"/>
      <c r="AF127" s="734"/>
      <c r="AG127" s="734"/>
    </row>
    <row r="128" spans="6:33" s="658" customFormat="1" x14ac:dyDescent="0.25">
      <c r="F128" s="708"/>
      <c r="G128" s="708"/>
      <c r="H128"/>
      <c r="I128"/>
      <c r="J128"/>
      <c r="K128"/>
      <c r="L128" s="18"/>
      <c r="M128"/>
      <c r="N128"/>
      <c r="O128"/>
      <c r="S128" s="700"/>
      <c r="T128" s="700"/>
      <c r="AB128" s="734"/>
      <c r="AC128" s="734"/>
      <c r="AF128" s="734"/>
      <c r="AG128" s="734"/>
    </row>
    <row r="129" spans="6:33" s="658" customFormat="1" x14ac:dyDescent="0.25">
      <c r="F129" s="708"/>
      <c r="G129" s="708"/>
      <c r="H129"/>
      <c r="I129"/>
      <c r="J129"/>
      <c r="K129"/>
      <c r="L129" s="18"/>
      <c r="M129"/>
      <c r="N129"/>
      <c r="O129"/>
      <c r="S129" s="700"/>
      <c r="T129" s="700"/>
      <c r="AB129" s="734"/>
      <c r="AC129" s="734"/>
      <c r="AF129" s="734"/>
      <c r="AG129" s="734"/>
    </row>
    <row r="130" spans="6:33" s="658" customFormat="1" x14ac:dyDescent="0.25">
      <c r="F130" s="708"/>
      <c r="G130" s="708"/>
      <c r="H130"/>
      <c r="I130"/>
      <c r="J130"/>
      <c r="K130"/>
      <c r="L130" s="18"/>
      <c r="M130"/>
      <c r="N130"/>
      <c r="O130"/>
      <c r="S130" s="700"/>
      <c r="T130" s="700"/>
      <c r="AB130" s="734"/>
      <c r="AC130" s="734"/>
      <c r="AF130" s="734"/>
      <c r="AG130" s="734"/>
    </row>
    <row r="131" spans="6:33" s="658" customFormat="1" x14ac:dyDescent="0.25">
      <c r="F131" s="708"/>
      <c r="G131" s="708"/>
      <c r="H131"/>
      <c r="I131"/>
      <c r="J131"/>
      <c r="K131"/>
      <c r="L131" s="18"/>
      <c r="M131"/>
      <c r="N131"/>
      <c r="O131"/>
      <c r="S131" s="700"/>
      <c r="T131" s="700"/>
      <c r="AB131" s="734"/>
      <c r="AC131" s="734"/>
      <c r="AF131" s="734"/>
      <c r="AG131" s="734"/>
    </row>
    <row r="132" spans="6:33" s="658" customFormat="1" x14ac:dyDescent="0.25">
      <c r="F132" s="708"/>
      <c r="G132" s="708"/>
      <c r="H132"/>
      <c r="I132"/>
      <c r="J132"/>
      <c r="K132"/>
      <c r="L132" s="18"/>
      <c r="M132"/>
      <c r="N132"/>
      <c r="O132"/>
      <c r="S132" s="700"/>
      <c r="T132" s="700"/>
      <c r="AB132" s="734"/>
      <c r="AC132" s="734"/>
      <c r="AF132" s="734"/>
      <c r="AG132" s="734"/>
    </row>
    <row r="133" spans="6:33" s="658" customFormat="1" x14ac:dyDescent="0.25">
      <c r="F133" s="708"/>
      <c r="G133" s="708"/>
      <c r="H133"/>
      <c r="I133"/>
      <c r="J133"/>
      <c r="K133"/>
      <c r="L133" s="18"/>
      <c r="M133"/>
      <c r="N133"/>
      <c r="O133"/>
      <c r="S133" s="700"/>
      <c r="T133" s="700"/>
      <c r="AB133" s="734"/>
      <c r="AC133" s="734"/>
      <c r="AF133" s="734"/>
      <c r="AG133" s="734"/>
    </row>
    <row r="134" spans="6:33" s="658" customFormat="1" x14ac:dyDescent="0.25">
      <c r="F134" s="708"/>
      <c r="G134" s="708"/>
      <c r="H134"/>
      <c r="I134"/>
      <c r="J134"/>
      <c r="K134"/>
      <c r="L134" s="18"/>
      <c r="M134"/>
      <c r="N134"/>
      <c r="O134"/>
      <c r="S134" s="700"/>
      <c r="T134" s="700"/>
      <c r="AB134" s="734"/>
      <c r="AC134" s="734"/>
      <c r="AF134" s="734"/>
      <c r="AG134" s="734"/>
    </row>
    <row r="135" spans="6:33" s="658" customFormat="1" x14ac:dyDescent="0.25">
      <c r="F135" s="708"/>
      <c r="G135" s="708"/>
      <c r="H135"/>
      <c r="I135"/>
      <c r="J135"/>
      <c r="K135"/>
      <c r="L135" s="18"/>
      <c r="M135"/>
      <c r="N135"/>
      <c r="O135"/>
      <c r="S135" s="700"/>
      <c r="T135" s="700"/>
      <c r="AB135" s="734"/>
      <c r="AC135" s="734"/>
      <c r="AF135" s="734"/>
      <c r="AG135" s="734"/>
    </row>
    <row r="136" spans="6:33" s="658" customFormat="1" x14ac:dyDescent="0.25">
      <c r="F136" s="708"/>
      <c r="G136" s="708"/>
      <c r="H136"/>
      <c r="I136"/>
      <c r="J136"/>
      <c r="K136"/>
      <c r="L136" s="18"/>
      <c r="M136"/>
      <c r="N136"/>
      <c r="O136"/>
      <c r="S136" s="700"/>
      <c r="T136" s="700"/>
      <c r="AB136" s="734"/>
      <c r="AC136" s="734"/>
      <c r="AF136" s="734"/>
      <c r="AG136" s="734"/>
    </row>
    <row r="137" spans="6:33" s="658" customFormat="1" x14ac:dyDescent="0.25">
      <c r="F137" s="708"/>
      <c r="G137" s="708"/>
      <c r="H137"/>
      <c r="I137"/>
      <c r="J137"/>
      <c r="K137"/>
      <c r="L137" s="18"/>
      <c r="M137"/>
      <c r="N137"/>
      <c r="O137"/>
      <c r="S137" s="700"/>
      <c r="T137" s="700"/>
      <c r="AB137" s="734"/>
      <c r="AC137" s="734"/>
      <c r="AF137" s="734"/>
      <c r="AG137" s="734"/>
    </row>
    <row r="138" spans="6:33" s="658" customFormat="1" x14ac:dyDescent="0.25">
      <c r="F138" s="708"/>
      <c r="G138" s="708"/>
      <c r="H138"/>
      <c r="I138"/>
      <c r="J138"/>
      <c r="K138"/>
      <c r="L138" s="18"/>
      <c r="M138"/>
      <c r="N138"/>
      <c r="O138"/>
      <c r="S138" s="700"/>
      <c r="T138" s="700"/>
      <c r="AB138" s="734"/>
      <c r="AC138" s="734"/>
      <c r="AF138" s="734"/>
      <c r="AG138" s="734"/>
    </row>
    <row r="139" spans="6:33" s="658" customFormat="1" x14ac:dyDescent="0.25">
      <c r="F139" s="708"/>
      <c r="G139" s="708"/>
      <c r="H139"/>
      <c r="I139"/>
      <c r="J139"/>
      <c r="K139"/>
      <c r="L139" s="18"/>
      <c r="M139"/>
      <c r="N139"/>
      <c r="O139"/>
      <c r="S139" s="700"/>
      <c r="T139" s="700"/>
      <c r="AB139" s="734"/>
      <c r="AC139" s="734"/>
      <c r="AF139" s="734"/>
      <c r="AG139" s="734"/>
    </row>
    <row r="140" spans="6:33" s="658" customFormat="1" x14ac:dyDescent="0.25">
      <c r="F140" s="708"/>
      <c r="G140" s="708"/>
      <c r="H140"/>
      <c r="I140"/>
      <c r="J140"/>
      <c r="K140"/>
      <c r="L140" s="18"/>
      <c r="M140"/>
      <c r="N140"/>
      <c r="O140"/>
      <c r="S140" s="700"/>
      <c r="T140" s="700"/>
      <c r="AB140" s="734"/>
      <c r="AC140" s="734"/>
      <c r="AF140" s="734"/>
      <c r="AG140" s="734"/>
    </row>
    <row r="141" spans="6:33" s="658" customFormat="1" x14ac:dyDescent="0.25">
      <c r="F141" s="708"/>
      <c r="G141" s="708"/>
      <c r="H141"/>
      <c r="I141"/>
      <c r="J141"/>
      <c r="K141"/>
      <c r="L141" s="18"/>
      <c r="M141"/>
      <c r="N141"/>
      <c r="O141"/>
      <c r="S141" s="700"/>
      <c r="T141" s="700"/>
      <c r="AB141" s="734"/>
      <c r="AC141" s="734"/>
      <c r="AF141" s="734"/>
      <c r="AG141" s="734"/>
    </row>
    <row r="142" spans="6:33" s="658" customFormat="1" x14ac:dyDescent="0.25">
      <c r="F142" s="708"/>
      <c r="G142" s="708"/>
      <c r="H142"/>
      <c r="I142"/>
      <c r="J142"/>
      <c r="K142"/>
      <c r="L142" s="18"/>
      <c r="M142"/>
      <c r="N142"/>
      <c r="O142"/>
      <c r="S142" s="700"/>
      <c r="T142" s="700"/>
      <c r="AB142" s="734"/>
      <c r="AC142" s="734"/>
      <c r="AF142" s="734"/>
      <c r="AG142" s="734"/>
    </row>
    <row r="143" spans="6:33" s="658" customFormat="1" x14ac:dyDescent="0.25">
      <c r="F143" s="708"/>
      <c r="G143" s="708"/>
      <c r="H143"/>
      <c r="I143"/>
      <c r="J143"/>
      <c r="K143"/>
      <c r="L143" s="18"/>
      <c r="M143"/>
      <c r="N143"/>
      <c r="O143"/>
      <c r="S143" s="700"/>
      <c r="T143" s="700"/>
      <c r="AB143" s="734"/>
      <c r="AC143" s="734"/>
      <c r="AF143" s="734"/>
      <c r="AG143" s="734"/>
    </row>
    <row r="144" spans="6:33" s="658" customFormat="1" x14ac:dyDescent="0.25">
      <c r="F144" s="708"/>
      <c r="G144" s="708"/>
      <c r="H144"/>
      <c r="I144"/>
      <c r="J144"/>
      <c r="K144"/>
      <c r="L144" s="18"/>
      <c r="M144"/>
      <c r="N144"/>
      <c r="O144"/>
      <c r="S144" s="700"/>
      <c r="T144" s="700"/>
      <c r="AB144" s="734"/>
      <c r="AC144" s="734"/>
      <c r="AF144" s="734"/>
      <c r="AG144" s="734"/>
    </row>
    <row r="145" spans="6:33" s="658" customFormat="1" x14ac:dyDescent="0.25">
      <c r="F145" s="708"/>
      <c r="G145" s="708"/>
      <c r="H145"/>
      <c r="I145"/>
      <c r="J145"/>
      <c r="K145"/>
      <c r="L145" s="18"/>
      <c r="M145"/>
      <c r="N145"/>
      <c r="O145"/>
      <c r="S145" s="700"/>
      <c r="T145" s="700"/>
      <c r="AB145" s="734"/>
      <c r="AC145" s="734"/>
      <c r="AF145" s="734"/>
      <c r="AG145" s="734"/>
    </row>
    <row r="146" spans="6:33" s="658" customFormat="1" x14ac:dyDescent="0.25">
      <c r="F146" s="708"/>
      <c r="G146" s="708"/>
      <c r="H146"/>
      <c r="I146"/>
      <c r="J146"/>
      <c r="K146"/>
      <c r="L146" s="18"/>
      <c r="M146"/>
      <c r="N146"/>
      <c r="O146"/>
      <c r="S146" s="700"/>
      <c r="T146" s="700"/>
      <c r="AB146" s="734"/>
      <c r="AC146" s="734"/>
      <c r="AF146" s="734"/>
      <c r="AG146" s="734"/>
    </row>
    <row r="147" spans="6:33" s="658" customFormat="1" x14ac:dyDescent="0.25">
      <c r="F147" s="708"/>
      <c r="G147" s="708"/>
      <c r="H147"/>
      <c r="I147"/>
      <c r="J147"/>
      <c r="K147"/>
      <c r="L147" s="18"/>
      <c r="M147"/>
      <c r="N147"/>
      <c r="O147"/>
      <c r="S147" s="700"/>
      <c r="T147" s="700"/>
      <c r="AB147" s="734"/>
      <c r="AC147" s="734"/>
      <c r="AF147" s="734"/>
      <c r="AG147" s="734"/>
    </row>
    <row r="148" spans="6:33" s="658" customFormat="1" x14ac:dyDescent="0.25">
      <c r="F148" s="708"/>
      <c r="G148" s="708"/>
      <c r="H148"/>
      <c r="I148"/>
      <c r="J148"/>
      <c r="K148"/>
      <c r="L148" s="18"/>
      <c r="M148"/>
      <c r="N148"/>
      <c r="O148"/>
      <c r="S148" s="700"/>
      <c r="T148" s="700"/>
      <c r="AB148" s="734"/>
      <c r="AC148" s="734"/>
      <c r="AF148" s="734"/>
      <c r="AG148" s="734"/>
    </row>
    <row r="149" spans="6:33" s="658" customFormat="1" x14ac:dyDescent="0.25">
      <c r="F149" s="708"/>
      <c r="G149" s="708"/>
      <c r="H149"/>
      <c r="I149"/>
      <c r="J149"/>
      <c r="K149"/>
      <c r="L149" s="18"/>
      <c r="M149"/>
      <c r="N149"/>
      <c r="O149"/>
      <c r="S149" s="700"/>
      <c r="T149" s="700"/>
      <c r="AB149" s="734"/>
      <c r="AC149" s="734"/>
      <c r="AF149" s="734"/>
      <c r="AG149" s="734"/>
    </row>
    <row r="150" spans="6:33" s="658" customFormat="1" x14ac:dyDescent="0.25">
      <c r="F150" s="708"/>
      <c r="G150" s="708"/>
      <c r="H150"/>
      <c r="I150"/>
      <c r="J150"/>
      <c r="K150"/>
      <c r="L150" s="18"/>
      <c r="M150"/>
      <c r="N150"/>
      <c r="O150"/>
      <c r="S150" s="700"/>
      <c r="T150" s="700"/>
      <c r="AB150" s="734"/>
      <c r="AC150" s="734"/>
      <c r="AF150" s="734"/>
      <c r="AG150" s="734"/>
    </row>
    <row r="151" spans="6:33" s="658" customFormat="1" x14ac:dyDescent="0.25">
      <c r="F151" s="708"/>
      <c r="G151" s="708"/>
      <c r="H151"/>
      <c r="I151"/>
      <c r="J151"/>
      <c r="K151"/>
      <c r="L151" s="18"/>
      <c r="M151"/>
      <c r="N151"/>
      <c r="O151"/>
      <c r="S151" s="700"/>
      <c r="T151" s="700"/>
      <c r="AB151" s="734"/>
      <c r="AC151" s="734"/>
      <c r="AF151" s="734"/>
      <c r="AG151" s="734"/>
    </row>
    <row r="152" spans="6:33" s="658" customFormat="1" x14ac:dyDescent="0.25">
      <c r="F152" s="708"/>
      <c r="G152" s="708"/>
      <c r="H152"/>
      <c r="I152"/>
      <c r="J152"/>
      <c r="K152"/>
      <c r="L152" s="18"/>
      <c r="M152"/>
      <c r="N152"/>
      <c r="O152"/>
      <c r="S152" s="700"/>
      <c r="T152" s="700"/>
      <c r="AB152" s="734"/>
      <c r="AC152" s="734"/>
      <c r="AF152" s="734"/>
      <c r="AG152" s="734"/>
    </row>
    <row r="153" spans="6:33" s="658" customFormat="1" x14ac:dyDescent="0.25">
      <c r="F153" s="708"/>
      <c r="G153" s="708"/>
      <c r="H153"/>
      <c r="I153"/>
      <c r="J153"/>
      <c r="K153"/>
      <c r="L153" s="18"/>
      <c r="M153"/>
      <c r="N153"/>
      <c r="O153"/>
      <c r="S153" s="700"/>
      <c r="T153" s="700"/>
      <c r="AB153" s="734"/>
      <c r="AC153" s="734"/>
      <c r="AF153" s="734"/>
      <c r="AG153" s="734"/>
    </row>
    <row r="154" spans="6:33" s="658" customFormat="1" x14ac:dyDescent="0.25">
      <c r="F154" s="708"/>
      <c r="G154" s="708"/>
      <c r="H154"/>
      <c r="I154"/>
      <c r="J154"/>
      <c r="K154"/>
      <c r="L154" s="18"/>
      <c r="M154"/>
      <c r="N154"/>
      <c r="O154"/>
      <c r="S154" s="700"/>
      <c r="T154" s="700"/>
      <c r="AB154" s="734"/>
      <c r="AC154" s="734"/>
      <c r="AF154" s="734"/>
      <c r="AG154" s="734"/>
    </row>
    <row r="155" spans="6:33" s="658" customFormat="1" x14ac:dyDescent="0.25">
      <c r="F155" s="708"/>
      <c r="G155" s="708"/>
      <c r="H155"/>
      <c r="I155"/>
      <c r="J155"/>
      <c r="K155"/>
      <c r="L155" s="18"/>
      <c r="M155"/>
      <c r="N155"/>
      <c r="O155"/>
      <c r="S155" s="700"/>
      <c r="T155" s="700"/>
      <c r="AB155" s="734"/>
      <c r="AC155" s="734"/>
      <c r="AF155" s="734"/>
      <c r="AG155" s="734"/>
    </row>
    <row r="156" spans="6:33" s="658" customFormat="1" x14ac:dyDescent="0.25">
      <c r="F156" s="708"/>
      <c r="G156" s="708"/>
      <c r="H156"/>
      <c r="I156"/>
      <c r="J156"/>
      <c r="K156"/>
      <c r="L156" s="18"/>
      <c r="M156"/>
      <c r="N156"/>
      <c r="O156"/>
      <c r="S156" s="700"/>
      <c r="T156" s="700"/>
      <c r="AB156" s="734"/>
      <c r="AC156" s="734"/>
      <c r="AF156" s="734"/>
      <c r="AG156" s="734"/>
    </row>
    <row r="157" spans="6:33" s="658" customFormat="1" x14ac:dyDescent="0.25">
      <c r="F157" s="708"/>
      <c r="G157" s="708"/>
      <c r="H157"/>
      <c r="I157"/>
      <c r="J157"/>
      <c r="K157"/>
      <c r="L157" s="18"/>
      <c r="M157"/>
      <c r="N157"/>
      <c r="O157"/>
      <c r="S157" s="700"/>
      <c r="T157" s="700"/>
      <c r="AB157" s="734"/>
      <c r="AC157" s="734"/>
      <c r="AF157" s="734"/>
      <c r="AG157" s="734"/>
    </row>
    <row r="158" spans="6:33" s="658" customFormat="1" x14ac:dyDescent="0.25">
      <c r="F158" s="708"/>
      <c r="G158" s="708"/>
      <c r="H158"/>
      <c r="I158"/>
      <c r="J158"/>
      <c r="K158"/>
      <c r="L158" s="18"/>
      <c r="M158"/>
      <c r="N158"/>
      <c r="O158"/>
      <c r="S158" s="700"/>
      <c r="T158" s="700"/>
      <c r="AB158" s="734"/>
      <c r="AC158" s="734"/>
      <c r="AF158" s="734"/>
      <c r="AG158" s="734"/>
    </row>
    <row r="159" spans="6:33" s="658" customFormat="1" x14ac:dyDescent="0.25">
      <c r="F159" s="708"/>
      <c r="G159" s="708"/>
      <c r="H159"/>
      <c r="I159"/>
      <c r="J159"/>
      <c r="K159"/>
      <c r="L159" s="18"/>
      <c r="M159"/>
      <c r="N159"/>
      <c r="O159"/>
      <c r="S159" s="700"/>
      <c r="T159" s="700"/>
      <c r="AB159" s="734"/>
      <c r="AC159" s="734"/>
      <c r="AF159" s="734"/>
      <c r="AG159" s="734"/>
    </row>
    <row r="160" spans="6:33" s="658" customFormat="1" x14ac:dyDescent="0.25">
      <c r="F160" s="708"/>
      <c r="G160" s="708"/>
      <c r="H160"/>
      <c r="I160"/>
      <c r="J160"/>
      <c r="K160"/>
      <c r="L160" s="18"/>
      <c r="M160"/>
      <c r="N160"/>
      <c r="O160"/>
      <c r="S160" s="700"/>
      <c r="T160" s="700"/>
      <c r="AB160" s="734"/>
      <c r="AC160" s="734"/>
      <c r="AF160" s="734"/>
      <c r="AG160" s="734"/>
    </row>
    <row r="161" spans="6:33" s="658" customFormat="1" x14ac:dyDescent="0.25">
      <c r="F161" s="708"/>
      <c r="G161" s="708"/>
      <c r="H161"/>
      <c r="I161"/>
      <c r="J161"/>
      <c r="K161"/>
      <c r="L161" s="18"/>
      <c r="M161"/>
      <c r="N161"/>
      <c r="O161"/>
      <c r="S161" s="700"/>
      <c r="T161" s="700"/>
      <c r="AB161" s="734"/>
      <c r="AC161" s="734"/>
      <c r="AF161" s="734"/>
      <c r="AG161" s="734"/>
    </row>
    <row r="162" spans="6:33" s="658" customFormat="1" x14ac:dyDescent="0.25">
      <c r="F162" s="708"/>
      <c r="G162" s="708"/>
      <c r="H162"/>
      <c r="I162"/>
      <c r="J162"/>
      <c r="K162"/>
      <c r="L162" s="18"/>
      <c r="M162"/>
      <c r="N162"/>
      <c r="O162"/>
      <c r="S162" s="700"/>
      <c r="T162" s="700"/>
      <c r="AB162" s="734"/>
      <c r="AC162" s="734"/>
      <c r="AF162" s="734"/>
      <c r="AG162" s="734"/>
    </row>
    <row r="163" spans="6:33" s="658" customFormat="1" x14ac:dyDescent="0.25">
      <c r="F163" s="708"/>
      <c r="G163" s="708"/>
      <c r="H163"/>
      <c r="I163"/>
      <c r="J163"/>
      <c r="K163"/>
      <c r="L163" s="18"/>
      <c r="M163"/>
      <c r="N163"/>
      <c r="O163"/>
      <c r="S163" s="700"/>
      <c r="T163" s="700"/>
      <c r="AB163" s="734"/>
      <c r="AC163" s="734"/>
      <c r="AF163" s="734"/>
      <c r="AG163" s="734"/>
    </row>
    <row r="164" spans="6:33" s="658" customFormat="1" x14ac:dyDescent="0.25">
      <c r="F164" s="708"/>
      <c r="G164" s="708"/>
      <c r="H164"/>
      <c r="I164"/>
      <c r="J164"/>
      <c r="K164"/>
      <c r="L164" s="18"/>
      <c r="M164"/>
      <c r="N164"/>
      <c r="O164"/>
      <c r="S164" s="700"/>
      <c r="T164" s="700"/>
      <c r="AB164" s="734"/>
      <c r="AC164" s="734"/>
      <c r="AF164" s="734"/>
      <c r="AG164" s="734"/>
    </row>
    <row r="165" spans="6:33" s="658" customFormat="1" x14ac:dyDescent="0.25">
      <c r="F165" s="708"/>
      <c r="G165" s="708"/>
      <c r="H165"/>
      <c r="I165"/>
      <c r="J165"/>
      <c r="K165"/>
      <c r="L165" s="18"/>
      <c r="M165"/>
      <c r="N165"/>
      <c r="O165"/>
      <c r="S165" s="700"/>
      <c r="T165" s="700"/>
      <c r="AB165" s="734"/>
      <c r="AC165" s="734"/>
      <c r="AF165" s="734"/>
      <c r="AG165" s="734"/>
    </row>
    <row r="166" spans="6:33" s="658" customFormat="1" x14ac:dyDescent="0.25">
      <c r="F166" s="708"/>
      <c r="G166" s="708"/>
      <c r="H166"/>
      <c r="I166"/>
      <c r="J166"/>
      <c r="K166"/>
      <c r="L166" s="18"/>
      <c r="M166"/>
      <c r="N166"/>
      <c r="O166"/>
      <c r="S166" s="700"/>
      <c r="T166" s="700"/>
      <c r="AB166" s="734"/>
      <c r="AC166" s="734"/>
      <c r="AF166" s="734"/>
      <c r="AG166" s="734"/>
    </row>
    <row r="167" spans="6:33" s="658" customFormat="1" x14ac:dyDescent="0.25">
      <c r="F167" s="708"/>
      <c r="G167" s="708"/>
      <c r="H167"/>
      <c r="I167"/>
      <c r="J167"/>
      <c r="K167"/>
      <c r="L167" s="18"/>
      <c r="M167"/>
      <c r="N167"/>
      <c r="O167"/>
      <c r="S167" s="700"/>
      <c r="T167" s="700"/>
      <c r="AB167" s="734"/>
      <c r="AC167" s="734"/>
      <c r="AF167" s="734"/>
      <c r="AG167" s="734"/>
    </row>
    <row r="168" spans="6:33" s="658" customFormat="1" x14ac:dyDescent="0.25">
      <c r="F168" s="708"/>
      <c r="G168" s="708"/>
      <c r="H168"/>
      <c r="I168"/>
      <c r="J168"/>
      <c r="K168"/>
      <c r="L168" s="18"/>
      <c r="M168"/>
      <c r="N168"/>
      <c r="O168"/>
      <c r="S168" s="700"/>
      <c r="T168" s="700"/>
      <c r="AB168" s="734"/>
      <c r="AC168" s="734"/>
      <c r="AF168" s="734"/>
      <c r="AG168" s="734"/>
    </row>
    <row r="169" spans="6:33" s="658" customFormat="1" x14ac:dyDescent="0.25">
      <c r="F169" s="708"/>
      <c r="G169" s="708"/>
      <c r="H169"/>
      <c r="I169"/>
      <c r="J169"/>
      <c r="K169"/>
      <c r="L169" s="18"/>
      <c r="M169"/>
      <c r="N169"/>
      <c r="O169"/>
      <c r="S169" s="700"/>
      <c r="T169" s="700"/>
      <c r="AB169" s="734"/>
      <c r="AC169" s="734"/>
      <c r="AF169" s="734"/>
      <c r="AG169" s="734"/>
    </row>
    <row r="170" spans="6:33" s="658" customFormat="1" x14ac:dyDescent="0.25">
      <c r="F170" s="708"/>
      <c r="G170" s="708"/>
      <c r="H170"/>
      <c r="I170"/>
      <c r="J170"/>
      <c r="K170"/>
      <c r="L170" s="18"/>
      <c r="M170"/>
      <c r="N170"/>
      <c r="O170"/>
      <c r="S170" s="700"/>
      <c r="T170" s="700"/>
      <c r="AB170" s="734"/>
      <c r="AC170" s="734"/>
      <c r="AF170" s="734"/>
      <c r="AG170" s="734"/>
    </row>
    <row r="171" spans="6:33" s="658" customFormat="1" x14ac:dyDescent="0.25">
      <c r="F171" s="708"/>
      <c r="G171" s="708"/>
      <c r="H171"/>
      <c r="I171"/>
      <c r="J171"/>
      <c r="K171"/>
      <c r="L171" s="18"/>
      <c r="M171"/>
      <c r="N171"/>
      <c r="O171"/>
      <c r="S171" s="700"/>
      <c r="T171" s="700"/>
      <c r="AB171" s="734"/>
      <c r="AC171" s="734"/>
      <c r="AF171" s="734"/>
      <c r="AG171" s="734"/>
    </row>
    <row r="172" spans="6:33" s="658" customFormat="1" x14ac:dyDescent="0.25">
      <c r="F172" s="708"/>
      <c r="G172" s="708"/>
      <c r="H172"/>
      <c r="I172"/>
      <c r="J172"/>
      <c r="K172"/>
      <c r="L172" s="18"/>
      <c r="M172"/>
      <c r="N172"/>
      <c r="O172"/>
      <c r="S172" s="700"/>
      <c r="T172" s="700"/>
      <c r="AB172" s="734"/>
      <c r="AC172" s="734"/>
      <c r="AF172" s="734"/>
      <c r="AG172" s="734"/>
    </row>
    <row r="173" spans="6:33" s="658" customFormat="1" x14ac:dyDescent="0.25">
      <c r="F173" s="708"/>
      <c r="G173" s="708"/>
      <c r="H173"/>
      <c r="I173"/>
      <c r="J173"/>
      <c r="K173"/>
      <c r="L173" s="18"/>
      <c r="M173"/>
      <c r="N173"/>
      <c r="O173"/>
      <c r="S173" s="700"/>
      <c r="T173" s="700"/>
      <c r="AB173" s="734"/>
      <c r="AC173" s="734"/>
      <c r="AF173" s="734"/>
      <c r="AG173" s="734"/>
    </row>
    <row r="174" spans="6:33" s="658" customFormat="1" x14ac:dyDescent="0.25">
      <c r="F174" s="708"/>
      <c r="G174" s="708"/>
      <c r="H174"/>
      <c r="I174"/>
      <c r="J174"/>
      <c r="K174"/>
      <c r="L174" s="18"/>
      <c r="M174"/>
      <c r="N174"/>
      <c r="O174"/>
      <c r="S174" s="700"/>
      <c r="T174" s="700"/>
      <c r="AB174" s="734"/>
      <c r="AC174" s="734"/>
      <c r="AF174" s="734"/>
      <c r="AG174" s="734"/>
    </row>
    <row r="175" spans="6:33" s="658" customFormat="1" x14ac:dyDescent="0.25">
      <c r="H175"/>
      <c r="I175"/>
      <c r="J175"/>
      <c r="K175"/>
      <c r="L175" s="18"/>
      <c r="M175"/>
      <c r="N175"/>
      <c r="O175"/>
      <c r="S175" s="700"/>
      <c r="T175" s="700"/>
      <c r="AB175" s="734"/>
      <c r="AC175" s="734"/>
      <c r="AF175" s="734"/>
      <c r="AG175" s="734"/>
    </row>
    <row r="176" spans="6:33" s="658" customFormat="1" x14ac:dyDescent="0.25">
      <c r="H176"/>
      <c r="I176"/>
      <c r="J176"/>
      <c r="K176"/>
      <c r="L176" s="18"/>
      <c r="M176"/>
      <c r="N176"/>
      <c r="O176"/>
      <c r="S176" s="700"/>
      <c r="T176" s="700"/>
      <c r="AB176" s="734"/>
      <c r="AC176" s="734"/>
      <c r="AF176" s="734"/>
      <c r="AG176" s="734"/>
    </row>
    <row r="177" spans="8:33" s="658" customFormat="1" x14ac:dyDescent="0.25">
      <c r="H177"/>
      <c r="I177"/>
      <c r="J177"/>
      <c r="K177"/>
      <c r="L177" s="18"/>
      <c r="M177"/>
      <c r="N177"/>
      <c r="O177"/>
      <c r="S177" s="700"/>
      <c r="T177" s="700"/>
      <c r="AB177" s="734"/>
      <c r="AC177" s="734"/>
      <c r="AF177" s="734"/>
      <c r="AG177" s="734"/>
    </row>
    <row r="178" spans="8:33" s="658" customFormat="1" x14ac:dyDescent="0.25">
      <c r="H178"/>
      <c r="I178"/>
      <c r="J178"/>
      <c r="K178"/>
      <c r="L178" s="18"/>
      <c r="M178"/>
      <c r="N178"/>
      <c r="O178"/>
      <c r="S178" s="700"/>
      <c r="T178" s="700"/>
      <c r="AB178" s="734"/>
      <c r="AC178" s="734"/>
      <c r="AF178" s="734"/>
      <c r="AG178" s="734"/>
    </row>
    <row r="179" spans="8:33" s="658" customFormat="1" x14ac:dyDescent="0.25">
      <c r="H179"/>
      <c r="I179"/>
      <c r="J179"/>
      <c r="K179"/>
      <c r="L179" s="18"/>
      <c r="M179"/>
      <c r="N179"/>
      <c r="O179"/>
      <c r="S179" s="700"/>
      <c r="T179" s="700"/>
      <c r="AB179" s="734"/>
      <c r="AC179" s="734"/>
      <c r="AF179" s="734"/>
      <c r="AG179" s="734"/>
    </row>
    <row r="180" spans="8:33" s="658" customFormat="1" x14ac:dyDescent="0.25">
      <c r="H180"/>
      <c r="I180"/>
      <c r="J180"/>
      <c r="K180"/>
      <c r="L180" s="18"/>
      <c r="M180"/>
      <c r="N180"/>
      <c r="O180"/>
      <c r="S180" s="700"/>
      <c r="T180" s="700"/>
      <c r="AB180" s="734"/>
      <c r="AC180" s="734"/>
      <c r="AF180" s="734"/>
      <c r="AG180" s="734"/>
    </row>
    <row r="181" spans="8:33" s="658" customFormat="1" x14ac:dyDescent="0.25">
      <c r="H181"/>
      <c r="I181"/>
      <c r="J181"/>
      <c r="K181"/>
      <c r="L181" s="18"/>
      <c r="M181"/>
      <c r="N181"/>
      <c r="O181"/>
      <c r="S181" s="700"/>
      <c r="T181" s="700"/>
      <c r="AB181" s="734"/>
      <c r="AC181" s="734"/>
      <c r="AF181" s="734"/>
      <c r="AG181" s="734"/>
    </row>
    <row r="182" spans="8:33" s="658" customFormat="1" x14ac:dyDescent="0.25">
      <c r="H182"/>
      <c r="I182"/>
      <c r="J182"/>
      <c r="K182"/>
      <c r="L182" s="18"/>
      <c r="M182"/>
      <c r="N182"/>
      <c r="O182"/>
      <c r="S182" s="700"/>
      <c r="T182" s="700"/>
      <c r="AB182" s="734"/>
      <c r="AC182" s="734"/>
      <c r="AF182" s="734"/>
      <c r="AG182" s="734"/>
    </row>
    <row r="183" spans="8:33" s="658" customFormat="1" x14ac:dyDescent="0.25">
      <c r="H183"/>
      <c r="I183"/>
      <c r="J183"/>
      <c r="K183"/>
      <c r="L183" s="18"/>
      <c r="M183"/>
      <c r="N183"/>
      <c r="O183"/>
      <c r="S183" s="700"/>
      <c r="T183" s="700"/>
      <c r="AB183" s="734"/>
      <c r="AC183" s="734"/>
      <c r="AF183" s="734"/>
      <c r="AG183" s="734"/>
    </row>
    <row r="184" spans="8:33" s="658" customFormat="1" x14ac:dyDescent="0.25">
      <c r="H184"/>
      <c r="I184"/>
      <c r="J184"/>
      <c r="K184"/>
      <c r="L184" s="18"/>
      <c r="M184"/>
      <c r="N184"/>
      <c r="O184"/>
      <c r="S184" s="700"/>
      <c r="T184" s="700"/>
      <c r="AB184" s="734"/>
      <c r="AC184" s="734"/>
      <c r="AF184" s="734"/>
      <c r="AG184" s="734"/>
    </row>
    <row r="185" spans="8:33" s="658" customFormat="1" x14ac:dyDescent="0.25">
      <c r="H185"/>
      <c r="I185"/>
      <c r="J185"/>
      <c r="K185"/>
      <c r="L185" s="18"/>
      <c r="M185"/>
      <c r="N185"/>
      <c r="O185"/>
      <c r="S185" s="700"/>
      <c r="T185" s="700"/>
      <c r="AB185" s="734"/>
      <c r="AC185" s="734"/>
      <c r="AF185" s="734"/>
      <c r="AG185" s="734"/>
    </row>
    <row r="186" spans="8:33" s="658" customFormat="1" x14ac:dyDescent="0.25">
      <c r="H186"/>
      <c r="I186"/>
      <c r="J186"/>
      <c r="K186"/>
      <c r="L186" s="18"/>
      <c r="M186"/>
      <c r="N186"/>
      <c r="O186"/>
      <c r="S186" s="700"/>
      <c r="T186" s="700"/>
      <c r="AB186" s="734"/>
      <c r="AC186" s="734"/>
      <c r="AF186" s="734"/>
      <c r="AG186" s="734"/>
    </row>
    <row r="187" spans="8:33" s="658" customFormat="1" x14ac:dyDescent="0.25">
      <c r="H187"/>
      <c r="I187"/>
      <c r="J187"/>
      <c r="K187"/>
      <c r="L187" s="18"/>
      <c r="M187"/>
      <c r="N187"/>
      <c r="O187"/>
      <c r="S187" s="700"/>
      <c r="T187" s="700"/>
      <c r="AB187" s="734"/>
      <c r="AC187" s="734"/>
      <c r="AF187" s="734"/>
      <c r="AG187" s="734"/>
    </row>
    <row r="188" spans="8:33" s="658" customFormat="1" x14ac:dyDescent="0.25">
      <c r="H188"/>
      <c r="I188"/>
      <c r="J188"/>
      <c r="K188"/>
      <c r="L188" s="18"/>
      <c r="M188"/>
      <c r="N188"/>
      <c r="O188"/>
      <c r="S188" s="700"/>
      <c r="T188" s="700"/>
      <c r="AB188" s="734"/>
      <c r="AC188" s="734"/>
      <c r="AF188" s="734"/>
      <c r="AG188" s="734"/>
    </row>
    <row r="189" spans="8:33" s="658" customFormat="1" x14ac:dyDescent="0.25">
      <c r="H189"/>
      <c r="I189"/>
      <c r="J189"/>
      <c r="K189"/>
      <c r="L189" s="18"/>
      <c r="M189"/>
      <c r="N189"/>
      <c r="O189"/>
      <c r="S189" s="700"/>
      <c r="T189" s="700"/>
      <c r="AB189" s="734"/>
      <c r="AC189" s="734"/>
      <c r="AF189" s="734"/>
      <c r="AG189" s="734"/>
    </row>
    <row r="190" spans="8:33" s="658" customFormat="1" x14ac:dyDescent="0.25">
      <c r="H190"/>
      <c r="I190"/>
      <c r="J190"/>
      <c r="K190"/>
      <c r="L190" s="18"/>
      <c r="M190"/>
      <c r="N190"/>
      <c r="O190"/>
      <c r="S190" s="700"/>
      <c r="T190" s="700"/>
      <c r="AB190" s="734"/>
      <c r="AC190" s="734"/>
      <c r="AF190" s="734"/>
      <c r="AG190" s="734"/>
    </row>
    <row r="191" spans="8:33" s="658" customFormat="1" x14ac:dyDescent="0.25">
      <c r="H191"/>
      <c r="I191"/>
      <c r="J191"/>
      <c r="K191"/>
      <c r="L191" s="18"/>
      <c r="M191"/>
      <c r="N191"/>
      <c r="O191"/>
      <c r="S191" s="700"/>
      <c r="T191" s="700"/>
      <c r="AB191" s="734"/>
      <c r="AC191" s="734"/>
      <c r="AF191" s="734"/>
      <c r="AG191" s="734"/>
    </row>
    <row r="192" spans="8:33" x14ac:dyDescent="0.25">
      <c r="S192" s="700"/>
      <c r="T192" s="700"/>
    </row>
    <row r="193" spans="19:20" x14ac:dyDescent="0.25">
      <c r="S193" s="700"/>
      <c r="T193" s="700"/>
    </row>
    <row r="194" spans="19:20" x14ac:dyDescent="0.25">
      <c r="S194" s="700"/>
      <c r="T194" s="700"/>
    </row>
    <row r="195" spans="19:20" x14ac:dyDescent="0.25">
      <c r="S195" s="700"/>
      <c r="T195" s="700"/>
    </row>
    <row r="196" spans="19:20" x14ac:dyDescent="0.25">
      <c r="S196" s="700"/>
      <c r="T196" s="700"/>
    </row>
    <row r="197" spans="19:20" x14ac:dyDescent="0.25">
      <c r="S197" s="700"/>
      <c r="T197" s="700"/>
    </row>
    <row r="198" spans="19:20" x14ac:dyDescent="0.25">
      <c r="S198" s="700"/>
      <c r="T198" s="700"/>
    </row>
    <row r="199" spans="19:20" x14ac:dyDescent="0.25">
      <c r="S199" s="700"/>
      <c r="T199" s="700"/>
    </row>
    <row r="200" spans="19:20" x14ac:dyDescent="0.25">
      <c r="S200" s="700"/>
      <c r="T200" s="700"/>
    </row>
    <row r="201" spans="19:20" x14ac:dyDescent="0.25">
      <c r="S201" s="700"/>
      <c r="T201" s="700"/>
    </row>
    <row r="202" spans="19:20" x14ac:dyDescent="0.25">
      <c r="S202" s="700"/>
      <c r="T202" s="700"/>
    </row>
    <row r="203" spans="19:20" x14ac:dyDescent="0.25">
      <c r="S203" s="700"/>
      <c r="T203" s="700"/>
    </row>
    <row r="204" spans="19:20" x14ac:dyDescent="0.25">
      <c r="S204" s="700"/>
      <c r="T204" s="700"/>
    </row>
    <row r="205" spans="19:20" x14ac:dyDescent="0.25">
      <c r="S205" s="700"/>
      <c r="T205" s="700"/>
    </row>
    <row r="206" spans="19:20" x14ac:dyDescent="0.25">
      <c r="S206" s="700"/>
      <c r="T206" s="700"/>
    </row>
    <row r="207" spans="19:20" x14ac:dyDescent="0.25">
      <c r="S207" s="700"/>
      <c r="T207" s="700"/>
    </row>
    <row r="208" spans="19:20" x14ac:dyDescent="0.25">
      <c r="S208" s="700"/>
      <c r="T208" s="700"/>
    </row>
    <row r="209" spans="19:20" x14ac:dyDescent="0.25">
      <c r="S209" s="700"/>
      <c r="T209" s="700"/>
    </row>
    <row r="210" spans="19:20" x14ac:dyDescent="0.25">
      <c r="S210" s="700"/>
      <c r="T210" s="700"/>
    </row>
    <row r="211" spans="19:20" x14ac:dyDescent="0.25">
      <c r="S211" s="700"/>
      <c r="T211" s="700"/>
    </row>
    <row r="212" spans="19:20" x14ac:dyDescent="0.25">
      <c r="S212" s="700"/>
      <c r="T212" s="700"/>
    </row>
    <row r="213" spans="19:20" x14ac:dyDescent="0.25">
      <c r="S213" s="700"/>
      <c r="T213" s="700"/>
    </row>
    <row r="214" spans="19:20" x14ac:dyDescent="0.25">
      <c r="S214" s="700"/>
      <c r="T214" s="700"/>
    </row>
    <row r="215" spans="19:20" x14ac:dyDescent="0.25">
      <c r="S215" s="700"/>
      <c r="T215" s="700"/>
    </row>
    <row r="216" spans="19:20" x14ac:dyDescent="0.25">
      <c r="S216" s="700"/>
      <c r="T216" s="700"/>
    </row>
    <row r="217" spans="19:20" x14ac:dyDescent="0.25">
      <c r="S217" s="700"/>
      <c r="T217" s="700"/>
    </row>
    <row r="218" spans="19:20" x14ac:dyDescent="0.25">
      <c r="S218" s="700"/>
      <c r="T218" s="700"/>
    </row>
  </sheetData>
  <sheetProtection algorithmName="SHA-512" hashValue="EdMhcJI2sgyVkdP6zZwcxFh6tHF6cm8x3+Ofsvr9Y2iWZciaAFLMVywKFoUaNUHsVofIKGjH2fAJdcOxvMR4WQ==" saltValue="l5YYSlRBOzVueNhZIGbQ+Q==" spinCount="100000" sheet="1" objects="1" scenarios="1"/>
  <mergeCells count="112">
    <mergeCell ref="AB9:AB10"/>
    <mergeCell ref="AC9:AC10"/>
    <mergeCell ref="AF9:AF10"/>
    <mergeCell ref="AG9:AG10"/>
    <mergeCell ref="AB11:AB12"/>
    <mergeCell ref="AC11:AC12"/>
    <mergeCell ref="AF11:AF12"/>
    <mergeCell ref="AG11:AG12"/>
    <mergeCell ref="AB17:AB18"/>
    <mergeCell ref="AC17:AC18"/>
    <mergeCell ref="AF17:AF18"/>
    <mergeCell ref="AG17:AG18"/>
    <mergeCell ref="AB19:AB20"/>
    <mergeCell ref="AC19:AC20"/>
    <mergeCell ref="AF19:AF20"/>
    <mergeCell ref="AG19:AG20"/>
    <mergeCell ref="AB13:AB14"/>
    <mergeCell ref="AC13:AC14"/>
    <mergeCell ref="AF13:AF14"/>
    <mergeCell ref="AG13:AG14"/>
    <mergeCell ref="AB15:AB16"/>
    <mergeCell ref="AC15:AC16"/>
    <mergeCell ref="AF15:AF16"/>
    <mergeCell ref="AG15:AG16"/>
    <mergeCell ref="AB25:AB26"/>
    <mergeCell ref="AC25:AC26"/>
    <mergeCell ref="AF25:AF26"/>
    <mergeCell ref="AG25:AG26"/>
    <mergeCell ref="AB27:AB28"/>
    <mergeCell ref="AC27:AC28"/>
    <mergeCell ref="AF27:AF28"/>
    <mergeCell ref="AG27:AG28"/>
    <mergeCell ref="AB21:AB22"/>
    <mergeCell ref="AC21:AC22"/>
    <mergeCell ref="AF21:AF22"/>
    <mergeCell ref="AG21:AG22"/>
    <mergeCell ref="AB23:AB24"/>
    <mergeCell ref="AC23:AC24"/>
    <mergeCell ref="AF23:AF24"/>
    <mergeCell ref="AG23:AG24"/>
    <mergeCell ref="AB33:AB34"/>
    <mergeCell ref="AC33:AC34"/>
    <mergeCell ref="AF33:AF34"/>
    <mergeCell ref="AG33:AG34"/>
    <mergeCell ref="AB35:AB36"/>
    <mergeCell ref="AC35:AC36"/>
    <mergeCell ref="AF35:AF36"/>
    <mergeCell ref="AG35:AG36"/>
    <mergeCell ref="AB29:AB30"/>
    <mergeCell ref="AC29:AC30"/>
    <mergeCell ref="AF29:AF30"/>
    <mergeCell ref="AG29:AG30"/>
    <mergeCell ref="AB31:AB32"/>
    <mergeCell ref="AC31:AC32"/>
    <mergeCell ref="AF31:AF32"/>
    <mergeCell ref="AG31:AG32"/>
    <mergeCell ref="AB41:AB42"/>
    <mergeCell ref="AC41:AC42"/>
    <mergeCell ref="AF41:AF42"/>
    <mergeCell ref="AG41:AG42"/>
    <mergeCell ref="AB43:AB44"/>
    <mergeCell ref="AC43:AC44"/>
    <mergeCell ref="AF43:AF44"/>
    <mergeCell ref="AG43:AG44"/>
    <mergeCell ref="AB37:AB38"/>
    <mergeCell ref="AC37:AC38"/>
    <mergeCell ref="AF37:AF38"/>
    <mergeCell ref="AG37:AG38"/>
    <mergeCell ref="AB39:AB40"/>
    <mergeCell ref="AC39:AC40"/>
    <mergeCell ref="AF39:AF40"/>
    <mergeCell ref="AG39:AG40"/>
    <mergeCell ref="AB52:AB53"/>
    <mergeCell ref="AC52:AC53"/>
    <mergeCell ref="AF52:AF53"/>
    <mergeCell ref="AG52:AG53"/>
    <mergeCell ref="AB54:AB55"/>
    <mergeCell ref="AC54:AC55"/>
    <mergeCell ref="AF54:AF55"/>
    <mergeCell ref="AG54:AG55"/>
    <mergeCell ref="AB48:AB49"/>
    <mergeCell ref="AC48:AC49"/>
    <mergeCell ref="AF48:AF49"/>
    <mergeCell ref="AG48:AG49"/>
    <mergeCell ref="AB50:AB51"/>
    <mergeCell ref="AC50:AC51"/>
    <mergeCell ref="AF50:AF51"/>
    <mergeCell ref="AG50:AG51"/>
    <mergeCell ref="AB60:AB61"/>
    <mergeCell ref="AC60:AC61"/>
    <mergeCell ref="AB62:AB63"/>
    <mergeCell ref="AC62:AC63"/>
    <mergeCell ref="AB56:AB57"/>
    <mergeCell ref="AC56:AC57"/>
    <mergeCell ref="AF56:AF57"/>
    <mergeCell ref="AG56:AG57"/>
    <mergeCell ref="AB58:AB59"/>
    <mergeCell ref="AC58:AC59"/>
    <mergeCell ref="AF58:AF59"/>
    <mergeCell ref="AG58:AG59"/>
    <mergeCell ref="AB72:AB73"/>
    <mergeCell ref="AC72:AC73"/>
    <mergeCell ref="AB74:AB75"/>
    <mergeCell ref="AC74:AC75"/>
    <mergeCell ref="AB68:AB69"/>
    <mergeCell ref="AC68:AC69"/>
    <mergeCell ref="AB70:AB71"/>
    <mergeCell ref="AC70:AC71"/>
    <mergeCell ref="AB64:AB65"/>
    <mergeCell ref="AC64:AC65"/>
    <mergeCell ref="AB66:AB67"/>
    <mergeCell ref="AC66:AC67"/>
  </mergeCells>
  <pageMargins left="0.25" right="0.25" top="0.5" bottom="0" header="0.3" footer="0"/>
  <pageSetup scale="8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D6A02-D910-4AD4-B88F-ABC74AD61740}">
  <sheetPr codeName="Sheet8">
    <outlinePr summaryBelow="0"/>
    <pageSetUpPr autoPageBreaks="0" fitToPage="1"/>
  </sheetPr>
  <dimension ref="B1:Y179"/>
  <sheetViews>
    <sheetView showGridLines="0" zoomScale="90" zoomScaleNormal="90" workbookViewId="0">
      <selection activeCell="L64" sqref="L64"/>
    </sheetView>
  </sheetViews>
  <sheetFormatPr defaultRowHeight="15" outlineLevelRow="1" outlineLevelCol="2" x14ac:dyDescent="0.25"/>
  <cols>
    <col min="1" max="1" width="2.7109375" customWidth="1"/>
    <col min="2" max="3" width="10.85546875" hidden="1" customWidth="1" outlineLevel="2"/>
    <col min="4" max="4" width="2.7109375" hidden="1" customWidth="1" outlineLevel="2"/>
    <col min="5" max="6" width="12.7109375" hidden="1" customWidth="1" outlineLevel="2"/>
    <col min="7" max="7" width="2.7109375" hidden="1" customWidth="1" outlineLevel="2"/>
    <col min="8" max="9" width="10.28515625" hidden="1" customWidth="1" outlineLevel="2"/>
    <col min="10" max="11" width="2.7109375" hidden="1" customWidth="1" outlineLevel="2"/>
    <col min="12" max="12" width="18.140625" customWidth="1" collapsed="1"/>
    <col min="13" max="15" width="18.140625" customWidth="1"/>
    <col min="16" max="16" width="2.7109375" customWidth="1"/>
    <col min="17" max="18" width="18.7109375" hidden="1" customWidth="1" outlineLevel="1"/>
    <col min="19" max="19" width="2.7109375" hidden="1" customWidth="1" outlineLevel="1"/>
    <col min="20" max="20" width="16.7109375" hidden="1" customWidth="1" outlineLevel="1"/>
    <col min="21" max="21" width="13.7109375" hidden="1" customWidth="1" outlineLevel="1"/>
    <col min="22" max="22" width="2.7109375" hidden="1" customWidth="1" outlineLevel="1"/>
    <col min="23" max="23" width="17.42578125" hidden="1" customWidth="1" outlineLevel="1"/>
    <col min="24" max="24" width="13.7109375" hidden="1" customWidth="1" outlineLevel="1"/>
    <col min="25" max="25" width="13.7109375" customWidth="1" collapsed="1"/>
    <col min="26" max="29" width="13.7109375" customWidth="1"/>
  </cols>
  <sheetData>
    <row r="1" spans="2:24" collapsed="1" x14ac:dyDescent="0.25"/>
    <row r="2" spans="2:24" hidden="1" outlineLevel="1" x14ac:dyDescent="0.25">
      <c r="Q2" s="13" t="s">
        <v>937</v>
      </c>
      <c r="R2" s="13" t="s">
        <v>937</v>
      </c>
    </row>
    <row r="3" spans="2:24" hidden="1" outlineLevel="1" x14ac:dyDescent="0.25">
      <c r="Q3" s="492" t="s">
        <v>970</v>
      </c>
      <c r="R3" s="492" t="s">
        <v>971</v>
      </c>
      <c r="S3" s="658"/>
    </row>
    <row r="4" spans="2:24" ht="21" x14ac:dyDescent="0.35">
      <c r="B4" s="295"/>
      <c r="L4" s="1" t="s">
        <v>917</v>
      </c>
    </row>
    <row r="5" spans="2:24" ht="15.75" x14ac:dyDescent="0.25">
      <c r="B5" s="13"/>
      <c r="L5" s="9" t="s">
        <v>492</v>
      </c>
    </row>
    <row r="6" spans="2:24" ht="16.5" thickBot="1" x14ac:dyDescent="0.3">
      <c r="B6" s="13"/>
      <c r="L6" s="42"/>
    </row>
    <row r="7" spans="2:24" s="658" customFormat="1" x14ac:dyDescent="0.25">
      <c r="B7" s="732" t="s">
        <v>886</v>
      </c>
      <c r="C7" s="702">
        <v>1E-3</v>
      </c>
      <c r="D7" s="706"/>
      <c r="E7" s="725" t="s">
        <v>915</v>
      </c>
      <c r="F7" s="725"/>
      <c r="H7" s="734" t="s">
        <v>918</v>
      </c>
      <c r="I7" s="734" t="s">
        <v>919</v>
      </c>
      <c r="J7"/>
      <c r="K7" s="705"/>
      <c r="L7" s="592" t="str">
        <f>_xlfn.CONCAT($B7," (",(TEXT(C7,".000")),E7," Increments)")</f>
        <v>Inch Sets (.001" Increments)</v>
      </c>
      <c r="M7" s="595"/>
      <c r="N7" s="595"/>
      <c r="O7" s="683"/>
      <c r="Q7" s="592" t="s">
        <v>1400</v>
      </c>
      <c r="R7" s="593"/>
    </row>
    <row r="8" spans="2:24" s="705" customFormat="1" x14ac:dyDescent="0.25">
      <c r="B8" s="709"/>
      <c r="C8" s="707"/>
      <c r="D8" s="706"/>
      <c r="H8" s="707"/>
      <c r="I8" s="707"/>
      <c r="J8" s="72"/>
      <c r="L8" s="1234" t="s">
        <v>1408</v>
      </c>
      <c r="M8" s="1235" t="s">
        <v>3</v>
      </c>
      <c r="N8" s="1235" t="s">
        <v>558</v>
      </c>
      <c r="O8" s="1236" t="s">
        <v>564</v>
      </c>
      <c r="Q8" s="1247" t="s">
        <v>558</v>
      </c>
      <c r="R8" s="1248" t="s">
        <v>564</v>
      </c>
      <c r="U8" s="346"/>
    </row>
    <row r="9" spans="2:24" s="658" customFormat="1" x14ac:dyDescent="0.25">
      <c r="B9" s="702">
        <v>1.0999999999999999E-2</v>
      </c>
      <c r="C9" s="702">
        <v>0.06</v>
      </c>
      <c r="E9" s="658" t="s">
        <v>890</v>
      </c>
      <c r="F9" s="539">
        <v>50</v>
      </c>
      <c r="G9" s="725"/>
      <c r="H9" s="733">
        <v>8</v>
      </c>
      <c r="I9" s="733">
        <v>10</v>
      </c>
      <c r="J9"/>
      <c r="L9" s="727" t="s">
        <v>88</v>
      </c>
      <c r="M9" s="713" t="str">
        <f>_xlfn.CONCAT(TEXT($B9,"#.000#"),""""," - ",TEXT($C9,"#.000#"),"""")</f>
        <v>.011" - .060"</v>
      </c>
      <c r="N9" s="717">
        <f>MROUND(PRODUCT($H9,$F9),10)</f>
        <v>400</v>
      </c>
      <c r="O9" s="710">
        <f>MROUND(PRODUCT($I9,$F9),10)</f>
        <v>500</v>
      </c>
      <c r="Q9" s="1278" t="str">
        <f>_xlfn.CONCAT($Q$2,$E9,$Q$3)</f>
        <v>CAL-M0X-NEW</v>
      </c>
      <c r="R9" s="1279" t="str">
        <f>_xlfn.CONCAT($R$2,$E9,$R$3)</f>
        <v>CAL-M0X-CUST</v>
      </c>
      <c r="S9" s="350"/>
      <c r="T9" s="13" t="s">
        <v>937</v>
      </c>
      <c r="U9" s="658">
        <v>25</v>
      </c>
      <c r="V9"/>
      <c r="W9" s="13" t="s">
        <v>937</v>
      </c>
      <c r="X9" s="658">
        <v>25</v>
      </c>
    </row>
    <row r="10" spans="2:24" s="658" customFormat="1" x14ac:dyDescent="0.25">
      <c r="B10" s="702">
        <v>1.0999999999999999E-2</v>
      </c>
      <c r="C10" s="702">
        <v>0.06</v>
      </c>
      <c r="E10" s="658" t="s">
        <v>890</v>
      </c>
      <c r="F10" s="539">
        <v>50</v>
      </c>
      <c r="G10" s="725"/>
      <c r="H10" s="700">
        <f>H9</f>
        <v>8</v>
      </c>
      <c r="I10" s="700">
        <f>I9</f>
        <v>10</v>
      </c>
      <c r="J10"/>
      <c r="L10" s="727" t="s">
        <v>89</v>
      </c>
      <c r="M10" s="713" t="str">
        <f t="shared" ref="M10:M44" si="0">_xlfn.CONCAT(TEXT($B10,"#.000#"),""""," - ",TEXT($C10,"#.000#"),"""")</f>
        <v>.011" - .060"</v>
      </c>
      <c r="N10" s="717">
        <f t="shared" ref="N10:N44" si="1">MROUND(PRODUCT($H10,$F10),10)</f>
        <v>400</v>
      </c>
      <c r="O10" s="710">
        <f t="shared" ref="O10:O44" si="2">MROUND(PRODUCT($I10,$F10),10)</f>
        <v>500</v>
      </c>
      <c r="Q10" s="1270"/>
      <c r="R10" s="1271"/>
      <c r="S10" s="350"/>
      <c r="T10" s="1182" t="s">
        <v>1395</v>
      </c>
      <c r="U10" s="733">
        <v>12</v>
      </c>
      <c r="W10" s="1182" t="s">
        <v>1396</v>
      </c>
      <c r="X10" s="733">
        <v>15</v>
      </c>
    </row>
    <row r="11" spans="2:24" s="658" customFormat="1" x14ac:dyDescent="0.25">
      <c r="B11" s="702">
        <v>1.15E-2</v>
      </c>
      <c r="C11" s="702">
        <v>6.0499999999999998E-2</v>
      </c>
      <c r="E11" s="658" t="s">
        <v>891</v>
      </c>
      <c r="F11" s="539">
        <v>50</v>
      </c>
      <c r="G11" s="725"/>
      <c r="H11" s="700">
        <f t="shared" ref="H11:H44" si="3">H10</f>
        <v>8</v>
      </c>
      <c r="I11" s="700">
        <f t="shared" ref="I11:I44" si="4">I10</f>
        <v>10</v>
      </c>
      <c r="J11"/>
      <c r="L11" s="711" t="s">
        <v>90</v>
      </c>
      <c r="M11" s="714" t="str">
        <f t="shared" si="0"/>
        <v>.0115" - .0605"</v>
      </c>
      <c r="N11" s="718">
        <f t="shared" si="1"/>
        <v>400</v>
      </c>
      <c r="O11" s="712">
        <f t="shared" si="2"/>
        <v>500</v>
      </c>
      <c r="Q11" s="1272" t="str">
        <f>_xlfn.CONCAT($Q$2,$E11,$Q$3)</f>
        <v>CAL-M05X-NEW</v>
      </c>
      <c r="R11" s="1274" t="str">
        <f>_xlfn.CONCAT($R$2,$E11,$R$3)</f>
        <v>CAL-M05X-CUST</v>
      </c>
      <c r="S11" s="350"/>
    </row>
    <row r="12" spans="2:24" s="658" customFormat="1" x14ac:dyDescent="0.25">
      <c r="B12" s="702">
        <v>1.15E-2</v>
      </c>
      <c r="C12" s="702">
        <v>6.0499999999999998E-2</v>
      </c>
      <c r="E12" s="658" t="s">
        <v>891</v>
      </c>
      <c r="F12" s="539">
        <v>50</v>
      </c>
      <c r="G12" s="725"/>
      <c r="H12" s="700">
        <f t="shared" si="3"/>
        <v>8</v>
      </c>
      <c r="I12" s="700">
        <f t="shared" si="4"/>
        <v>10</v>
      </c>
      <c r="J12"/>
      <c r="L12" s="728" t="s">
        <v>91</v>
      </c>
      <c r="M12" s="715" t="str">
        <f t="shared" si="0"/>
        <v>.0115" - .0605"</v>
      </c>
      <c r="N12" s="719">
        <f t="shared" si="1"/>
        <v>400</v>
      </c>
      <c r="O12" s="175">
        <f t="shared" si="2"/>
        <v>500</v>
      </c>
      <c r="Q12" s="1276"/>
      <c r="R12" s="1277"/>
      <c r="S12" s="350"/>
      <c r="T12" t="str">
        <f>_xlfn.CONCAT($T$9,$T$10)</f>
        <v>CAL-MG25-NEW</v>
      </c>
      <c r="U12" s="350">
        <f>PRODUCT(U$9,U$10)</f>
        <v>300</v>
      </c>
      <c r="W12" t="str">
        <f>_xlfn.CONCAT($W$9,$W$10)</f>
        <v>CAL-MG25-CUST</v>
      </c>
      <c r="X12" s="350">
        <f>PRODUCT(X$9,X$10)</f>
        <v>375</v>
      </c>
    </row>
    <row r="13" spans="2:24" s="658" customFormat="1" x14ac:dyDescent="0.25">
      <c r="B13" s="702">
        <v>1.0999999999999999E-2</v>
      </c>
      <c r="C13" s="702">
        <v>0.25</v>
      </c>
      <c r="E13" s="658" t="s">
        <v>892</v>
      </c>
      <c r="F13" s="539">
        <v>240</v>
      </c>
      <c r="G13" s="725"/>
      <c r="H13" s="700">
        <f t="shared" si="3"/>
        <v>8</v>
      </c>
      <c r="I13" s="700">
        <f t="shared" si="4"/>
        <v>10</v>
      </c>
      <c r="J13"/>
      <c r="L13" s="727" t="s">
        <v>96</v>
      </c>
      <c r="M13" s="713" t="str">
        <f t="shared" si="0"/>
        <v>.011" - .250"</v>
      </c>
      <c r="N13" s="717">
        <f t="shared" si="1"/>
        <v>1920</v>
      </c>
      <c r="O13" s="710">
        <f t="shared" si="2"/>
        <v>2400</v>
      </c>
      <c r="Q13" s="1270" t="str">
        <f>_xlfn.CONCAT($Q$2,$E13,$Q$3)</f>
        <v>CAL-C10X-NEW</v>
      </c>
      <c r="R13" s="1271" t="str">
        <f>_xlfn.CONCAT($R$2,$E13,$R$3)</f>
        <v>CAL-C10X-CUST</v>
      </c>
      <c r="S13" s="350"/>
      <c r="T13" s="350"/>
    </row>
    <row r="14" spans="2:24" s="658" customFormat="1" x14ac:dyDescent="0.25">
      <c r="B14" s="702">
        <v>1.0999999999999999E-2</v>
      </c>
      <c r="C14" s="702">
        <v>0.25</v>
      </c>
      <c r="E14" s="658" t="s">
        <v>892</v>
      </c>
      <c r="F14" s="539">
        <v>240</v>
      </c>
      <c r="G14" s="725"/>
      <c r="H14" s="700">
        <f t="shared" si="3"/>
        <v>8</v>
      </c>
      <c r="I14" s="700">
        <f t="shared" si="4"/>
        <v>10</v>
      </c>
      <c r="J14"/>
      <c r="L14" s="727" t="s">
        <v>97</v>
      </c>
      <c r="M14" s="713" t="str">
        <f t="shared" si="0"/>
        <v>.011" - .250"</v>
      </c>
      <c r="N14" s="717">
        <f t="shared" si="1"/>
        <v>1920</v>
      </c>
      <c r="O14" s="710">
        <f t="shared" si="2"/>
        <v>2400</v>
      </c>
      <c r="Q14" s="1270"/>
      <c r="R14" s="1271"/>
      <c r="S14" s="350"/>
      <c r="T14" s="350"/>
    </row>
    <row r="15" spans="2:24" s="658" customFormat="1" x14ac:dyDescent="0.25">
      <c r="B15" s="702">
        <v>1.15E-2</v>
      </c>
      <c r="C15" s="702">
        <v>0.2505</v>
      </c>
      <c r="E15" s="658" t="s">
        <v>893</v>
      </c>
      <c r="F15" s="539">
        <v>240</v>
      </c>
      <c r="G15" s="725"/>
      <c r="H15" s="700">
        <f t="shared" si="3"/>
        <v>8</v>
      </c>
      <c r="I15" s="700">
        <f t="shared" si="4"/>
        <v>10</v>
      </c>
      <c r="J15"/>
      <c r="L15" s="711" t="s">
        <v>98</v>
      </c>
      <c r="M15" s="714" t="str">
        <f t="shared" si="0"/>
        <v>.0115" - .2505"</v>
      </c>
      <c r="N15" s="718">
        <f t="shared" si="1"/>
        <v>1920</v>
      </c>
      <c r="O15" s="712">
        <f t="shared" si="2"/>
        <v>2400</v>
      </c>
      <c r="Q15" s="1272" t="str">
        <f>_xlfn.CONCAT($Q$2,$E15,$Q$3)</f>
        <v>CAL-C105X-NEW</v>
      </c>
      <c r="R15" s="1274" t="str">
        <f>_xlfn.CONCAT($R$2,$E15,$R$3)</f>
        <v>CAL-C105X-CUST</v>
      </c>
      <c r="S15" s="350"/>
      <c r="T15" s="350"/>
    </row>
    <row r="16" spans="2:24" s="658" customFormat="1" x14ac:dyDescent="0.25">
      <c r="B16" s="702">
        <v>1.15E-2</v>
      </c>
      <c r="C16" s="702">
        <v>0.2505</v>
      </c>
      <c r="E16" s="658" t="s">
        <v>893</v>
      </c>
      <c r="F16" s="539">
        <v>240</v>
      </c>
      <c r="G16" s="725"/>
      <c r="H16" s="700">
        <f t="shared" si="3"/>
        <v>8</v>
      </c>
      <c r="I16" s="700">
        <f t="shared" si="4"/>
        <v>10</v>
      </c>
      <c r="J16"/>
      <c r="L16" s="728" t="s">
        <v>99</v>
      </c>
      <c r="M16" s="715" t="str">
        <f t="shared" si="0"/>
        <v>.0115" - .2505"</v>
      </c>
      <c r="N16" s="719">
        <f t="shared" si="1"/>
        <v>1920</v>
      </c>
      <c r="O16" s="175">
        <f t="shared" si="2"/>
        <v>2400</v>
      </c>
      <c r="Q16" s="1276"/>
      <c r="R16" s="1277"/>
      <c r="S16" s="350"/>
      <c r="T16" s="350"/>
    </row>
    <row r="17" spans="2:20" s="658" customFormat="1" x14ac:dyDescent="0.25">
      <c r="B17" s="702">
        <v>6.0999999999999999E-2</v>
      </c>
      <c r="C17" s="702">
        <v>0.25</v>
      </c>
      <c r="E17" s="658" t="s">
        <v>894</v>
      </c>
      <c r="F17" s="539">
        <v>190</v>
      </c>
      <c r="G17" s="725"/>
      <c r="H17" s="700">
        <f t="shared" si="3"/>
        <v>8</v>
      </c>
      <c r="I17" s="700">
        <f t="shared" si="4"/>
        <v>10</v>
      </c>
      <c r="J17"/>
      <c r="L17" s="727" t="s">
        <v>92</v>
      </c>
      <c r="M17" s="713" t="str">
        <f t="shared" si="0"/>
        <v>.061" - .250"</v>
      </c>
      <c r="N17" s="717">
        <f t="shared" si="1"/>
        <v>1520</v>
      </c>
      <c r="O17" s="710">
        <f t="shared" si="2"/>
        <v>1900</v>
      </c>
      <c r="Q17" s="1270" t="str">
        <f>_xlfn.CONCAT($Q$2,$E17,$Q$3)</f>
        <v>CAL-M1X-NEW</v>
      </c>
      <c r="R17" s="1271" t="str">
        <f>_xlfn.CONCAT($R$2,$E17,$R$3)</f>
        <v>CAL-M1X-CUST</v>
      </c>
      <c r="S17" s="350"/>
      <c r="T17" s="350"/>
    </row>
    <row r="18" spans="2:20" s="658" customFormat="1" x14ac:dyDescent="0.25">
      <c r="B18" s="702">
        <v>6.0999999999999999E-2</v>
      </c>
      <c r="C18" s="702">
        <v>0.25</v>
      </c>
      <c r="E18" s="658" t="s">
        <v>894</v>
      </c>
      <c r="F18" s="539">
        <v>190</v>
      </c>
      <c r="G18" s="725"/>
      <c r="H18" s="700">
        <f t="shared" si="3"/>
        <v>8</v>
      </c>
      <c r="I18" s="700">
        <f t="shared" si="4"/>
        <v>10</v>
      </c>
      <c r="J18"/>
      <c r="L18" s="727" t="s">
        <v>93</v>
      </c>
      <c r="M18" s="713" t="str">
        <f t="shared" si="0"/>
        <v>.061" - .250"</v>
      </c>
      <c r="N18" s="717">
        <f t="shared" si="1"/>
        <v>1520</v>
      </c>
      <c r="O18" s="710">
        <f t="shared" si="2"/>
        <v>1900</v>
      </c>
      <c r="Q18" s="1270"/>
      <c r="R18" s="1271"/>
      <c r="S18" s="350"/>
      <c r="T18" s="350"/>
    </row>
    <row r="19" spans="2:20" s="658" customFormat="1" x14ac:dyDescent="0.25">
      <c r="B19" s="702">
        <v>6.1499999999999999E-2</v>
      </c>
      <c r="C19" s="702">
        <v>0.2505</v>
      </c>
      <c r="E19" s="658" t="s">
        <v>895</v>
      </c>
      <c r="F19" s="539">
        <v>190</v>
      </c>
      <c r="G19" s="725"/>
      <c r="H19" s="700">
        <f t="shared" si="3"/>
        <v>8</v>
      </c>
      <c r="I19" s="700">
        <f t="shared" si="4"/>
        <v>10</v>
      </c>
      <c r="J19"/>
      <c r="L19" s="711" t="s">
        <v>94</v>
      </c>
      <c r="M19" s="714" t="str">
        <f t="shared" si="0"/>
        <v>.0615" - .2505"</v>
      </c>
      <c r="N19" s="718">
        <f t="shared" si="1"/>
        <v>1520</v>
      </c>
      <c r="O19" s="712">
        <f t="shared" si="2"/>
        <v>1900</v>
      </c>
      <c r="Q19" s="1272" t="str">
        <f>_xlfn.CONCAT($Q$2,$E19,$Q$3)</f>
        <v>CAL-M15X-NEW</v>
      </c>
      <c r="R19" s="1274" t="str">
        <f>_xlfn.CONCAT($R$2,$E19,$R$3)</f>
        <v>CAL-M15X-CUST</v>
      </c>
      <c r="S19" s="350"/>
      <c r="T19" s="350"/>
    </row>
    <row r="20" spans="2:20" s="658" customFormat="1" x14ac:dyDescent="0.25">
      <c r="B20" s="702">
        <v>6.1499999999999999E-2</v>
      </c>
      <c r="C20" s="702">
        <v>0.2505</v>
      </c>
      <c r="E20" s="658" t="s">
        <v>895</v>
      </c>
      <c r="F20" s="539">
        <v>190</v>
      </c>
      <c r="G20" s="725"/>
      <c r="H20" s="700">
        <f t="shared" si="3"/>
        <v>8</v>
      </c>
      <c r="I20" s="700">
        <f t="shared" si="4"/>
        <v>10</v>
      </c>
      <c r="J20"/>
      <c r="L20" s="728" t="s">
        <v>95</v>
      </c>
      <c r="M20" s="715" t="str">
        <f t="shared" si="0"/>
        <v>.0615" - .2505"</v>
      </c>
      <c r="N20" s="719">
        <f t="shared" si="1"/>
        <v>1520</v>
      </c>
      <c r="O20" s="175">
        <f t="shared" si="2"/>
        <v>1900</v>
      </c>
      <c r="Q20" s="1276"/>
      <c r="R20" s="1277"/>
      <c r="S20" s="350"/>
      <c r="T20" s="350"/>
    </row>
    <row r="21" spans="2:20" s="658" customFormat="1" x14ac:dyDescent="0.25">
      <c r="B21" s="702">
        <v>0.251</v>
      </c>
      <c r="C21" s="702">
        <v>0.5</v>
      </c>
      <c r="E21" s="658" t="s">
        <v>896</v>
      </c>
      <c r="F21" s="539">
        <v>250</v>
      </c>
      <c r="G21" s="725"/>
      <c r="H21" s="700">
        <f t="shared" si="3"/>
        <v>8</v>
      </c>
      <c r="I21" s="700">
        <f t="shared" si="4"/>
        <v>10</v>
      </c>
      <c r="J21"/>
      <c r="L21" s="727" t="s">
        <v>100</v>
      </c>
      <c r="M21" s="713" t="str">
        <f t="shared" si="0"/>
        <v>.251" - .500"</v>
      </c>
      <c r="N21" s="717">
        <f t="shared" si="1"/>
        <v>2000</v>
      </c>
      <c r="O21" s="710">
        <f t="shared" si="2"/>
        <v>2500</v>
      </c>
      <c r="Q21" s="1270" t="str">
        <f>_xlfn.CONCAT($Q$2,$E21,$Q$3)</f>
        <v>CAL-M2X-NEW</v>
      </c>
      <c r="R21" s="1271" t="str">
        <f>_xlfn.CONCAT($R$2,$E21,$R$3)</f>
        <v>CAL-M2X-CUST</v>
      </c>
      <c r="S21" s="350"/>
      <c r="T21" s="350"/>
    </row>
    <row r="22" spans="2:20" s="658" customFormat="1" x14ac:dyDescent="0.25">
      <c r="B22" s="702">
        <v>0.251</v>
      </c>
      <c r="C22" s="702">
        <v>0.5</v>
      </c>
      <c r="E22" s="658" t="s">
        <v>896</v>
      </c>
      <c r="F22" s="539">
        <v>250</v>
      </c>
      <c r="G22" s="725"/>
      <c r="H22" s="700">
        <f t="shared" si="3"/>
        <v>8</v>
      </c>
      <c r="I22" s="700">
        <f t="shared" si="4"/>
        <v>10</v>
      </c>
      <c r="J22"/>
      <c r="L22" s="727" t="s">
        <v>101</v>
      </c>
      <c r="M22" s="713" t="str">
        <f t="shared" si="0"/>
        <v>.251" - .500"</v>
      </c>
      <c r="N22" s="717">
        <f t="shared" si="1"/>
        <v>2000</v>
      </c>
      <c r="O22" s="710">
        <f t="shared" si="2"/>
        <v>2500</v>
      </c>
      <c r="Q22" s="1270"/>
      <c r="R22" s="1271"/>
      <c r="S22" s="350"/>
      <c r="T22" s="350"/>
    </row>
    <row r="23" spans="2:20" s="658" customFormat="1" x14ac:dyDescent="0.25">
      <c r="B23" s="702">
        <v>0.2515</v>
      </c>
      <c r="C23" s="702">
        <v>0.50049999999999994</v>
      </c>
      <c r="E23" s="658" t="s">
        <v>897</v>
      </c>
      <c r="F23" s="539">
        <v>250</v>
      </c>
      <c r="G23" s="725"/>
      <c r="H23" s="700">
        <f t="shared" si="3"/>
        <v>8</v>
      </c>
      <c r="I23" s="700">
        <f t="shared" si="4"/>
        <v>10</v>
      </c>
      <c r="J23"/>
      <c r="L23" s="711" t="s">
        <v>102</v>
      </c>
      <c r="M23" s="714" t="str">
        <f t="shared" si="0"/>
        <v>.2515" - .5005"</v>
      </c>
      <c r="N23" s="718">
        <f t="shared" si="1"/>
        <v>2000</v>
      </c>
      <c r="O23" s="712">
        <f t="shared" si="2"/>
        <v>2500</v>
      </c>
      <c r="Q23" s="1272" t="str">
        <f>_xlfn.CONCAT($Q$2,$E23,$Q$3)</f>
        <v>CAL-M25X-NEW</v>
      </c>
      <c r="R23" s="1274" t="str">
        <f>_xlfn.CONCAT($R$2,$E23,$R$3)</f>
        <v>CAL-M25X-CUST</v>
      </c>
      <c r="S23" s="350"/>
      <c r="T23" s="350"/>
    </row>
    <row r="24" spans="2:20" s="658" customFormat="1" x14ac:dyDescent="0.25">
      <c r="B24" s="702">
        <v>0.2515</v>
      </c>
      <c r="C24" s="702">
        <v>0.50049999999999994</v>
      </c>
      <c r="E24" s="658" t="s">
        <v>897</v>
      </c>
      <c r="F24" s="539">
        <v>250</v>
      </c>
      <c r="G24" s="725"/>
      <c r="H24" s="700">
        <f t="shared" si="3"/>
        <v>8</v>
      </c>
      <c r="I24" s="700">
        <f t="shared" si="4"/>
        <v>10</v>
      </c>
      <c r="J24"/>
      <c r="L24" s="728" t="s">
        <v>103</v>
      </c>
      <c r="M24" s="715" t="str">
        <f t="shared" si="0"/>
        <v>.2515" - .5005"</v>
      </c>
      <c r="N24" s="719">
        <f t="shared" si="1"/>
        <v>2000</v>
      </c>
      <c r="O24" s="175">
        <f t="shared" si="2"/>
        <v>2500</v>
      </c>
      <c r="Q24" s="1276"/>
      <c r="R24" s="1277"/>
      <c r="S24" s="350"/>
      <c r="T24" s="350"/>
    </row>
    <row r="25" spans="2:20" s="658" customFormat="1" x14ac:dyDescent="0.25">
      <c r="B25" s="702">
        <v>0.501</v>
      </c>
      <c r="C25" s="702">
        <v>0.625</v>
      </c>
      <c r="E25" s="658" t="s">
        <v>898</v>
      </c>
      <c r="F25" s="539">
        <v>125</v>
      </c>
      <c r="G25" s="725"/>
      <c r="H25" s="700">
        <f t="shared" si="3"/>
        <v>8</v>
      </c>
      <c r="I25" s="700">
        <f t="shared" si="4"/>
        <v>10</v>
      </c>
      <c r="J25"/>
      <c r="L25" s="727" t="s">
        <v>104</v>
      </c>
      <c r="M25" s="713" t="str">
        <f t="shared" si="0"/>
        <v>.501" - .625"</v>
      </c>
      <c r="N25" s="717">
        <f t="shared" si="1"/>
        <v>1000</v>
      </c>
      <c r="O25" s="710">
        <f t="shared" si="2"/>
        <v>1250</v>
      </c>
      <c r="Q25" s="1270" t="str">
        <f>_xlfn.CONCAT($Q$2,$E25,$Q$3)</f>
        <v>CAL-M3X-NEW</v>
      </c>
      <c r="R25" s="1271" t="str">
        <f>_xlfn.CONCAT($R$2,$E25,$R$3)</f>
        <v>CAL-M3X-CUST</v>
      </c>
      <c r="S25" s="350"/>
      <c r="T25" s="350"/>
    </row>
    <row r="26" spans="2:20" s="658" customFormat="1" x14ac:dyDescent="0.25">
      <c r="B26" s="702">
        <v>0.501</v>
      </c>
      <c r="C26" s="702">
        <v>0.625</v>
      </c>
      <c r="E26" s="658" t="s">
        <v>898</v>
      </c>
      <c r="F26" s="539">
        <v>125</v>
      </c>
      <c r="G26" s="725"/>
      <c r="H26" s="700">
        <f t="shared" si="3"/>
        <v>8</v>
      </c>
      <c r="I26" s="700">
        <f t="shared" si="4"/>
        <v>10</v>
      </c>
      <c r="J26"/>
      <c r="L26" s="727" t="s">
        <v>105</v>
      </c>
      <c r="M26" s="713" t="str">
        <f t="shared" si="0"/>
        <v>.501" - .625"</v>
      </c>
      <c r="N26" s="717">
        <f t="shared" si="1"/>
        <v>1000</v>
      </c>
      <c r="O26" s="710">
        <f t="shared" si="2"/>
        <v>1250</v>
      </c>
      <c r="Q26" s="1270"/>
      <c r="R26" s="1271"/>
      <c r="S26" s="350"/>
      <c r="T26" s="350"/>
    </row>
    <row r="27" spans="2:20" s="658" customFormat="1" x14ac:dyDescent="0.25">
      <c r="B27" s="702">
        <v>0.50149999999999995</v>
      </c>
      <c r="C27" s="702">
        <v>0.62549999999999994</v>
      </c>
      <c r="E27" s="658" t="s">
        <v>899</v>
      </c>
      <c r="F27" s="539">
        <v>125</v>
      </c>
      <c r="G27" s="725"/>
      <c r="H27" s="700">
        <f t="shared" si="3"/>
        <v>8</v>
      </c>
      <c r="I27" s="700">
        <f t="shared" si="4"/>
        <v>10</v>
      </c>
      <c r="J27"/>
      <c r="L27" s="711" t="s">
        <v>106</v>
      </c>
      <c r="M27" s="714" t="str">
        <f t="shared" si="0"/>
        <v>.5015" - .6255"</v>
      </c>
      <c r="N27" s="718">
        <f t="shared" si="1"/>
        <v>1000</v>
      </c>
      <c r="O27" s="712">
        <f t="shared" si="2"/>
        <v>1250</v>
      </c>
      <c r="Q27" s="1272" t="str">
        <f>_xlfn.CONCAT($Q$2,$E27,$Q$3)</f>
        <v>CAL-M35X-NEW</v>
      </c>
      <c r="R27" s="1274" t="str">
        <f>_xlfn.CONCAT($R$2,$E27,$R$3)</f>
        <v>CAL-M35X-CUST</v>
      </c>
      <c r="S27" s="350"/>
      <c r="T27" s="350"/>
    </row>
    <row r="28" spans="2:20" s="658" customFormat="1" x14ac:dyDescent="0.25">
      <c r="B28" s="702">
        <v>0.50149999999999995</v>
      </c>
      <c r="C28" s="702">
        <v>0.62549999999999994</v>
      </c>
      <c r="E28" s="658" t="s">
        <v>899</v>
      </c>
      <c r="F28" s="539">
        <v>125</v>
      </c>
      <c r="G28" s="725"/>
      <c r="H28" s="700">
        <f t="shared" si="3"/>
        <v>8</v>
      </c>
      <c r="I28" s="700">
        <f t="shared" si="4"/>
        <v>10</v>
      </c>
      <c r="J28"/>
      <c r="L28" s="728" t="s">
        <v>107</v>
      </c>
      <c r="M28" s="715" t="str">
        <f t="shared" si="0"/>
        <v>.5015" - .6255"</v>
      </c>
      <c r="N28" s="719">
        <f t="shared" si="1"/>
        <v>1000</v>
      </c>
      <c r="O28" s="175">
        <f t="shared" si="2"/>
        <v>1250</v>
      </c>
      <c r="Q28" s="1276"/>
      <c r="R28" s="1277"/>
      <c r="S28" s="350"/>
      <c r="T28" s="350"/>
    </row>
    <row r="29" spans="2:20" s="658" customFormat="1" x14ac:dyDescent="0.25">
      <c r="B29" s="702">
        <v>0.626</v>
      </c>
      <c r="C29" s="702">
        <v>0.75</v>
      </c>
      <c r="E29" s="658" t="s">
        <v>900</v>
      </c>
      <c r="F29" s="539">
        <v>125</v>
      </c>
      <c r="G29" s="725"/>
      <c r="H29" s="700">
        <f t="shared" si="3"/>
        <v>8</v>
      </c>
      <c r="I29" s="700">
        <f t="shared" si="4"/>
        <v>10</v>
      </c>
      <c r="J29"/>
      <c r="L29" s="727" t="s">
        <v>108</v>
      </c>
      <c r="M29" s="713" t="str">
        <f t="shared" si="0"/>
        <v>.626" - .750"</v>
      </c>
      <c r="N29" s="717">
        <f t="shared" si="1"/>
        <v>1000</v>
      </c>
      <c r="O29" s="710">
        <f t="shared" si="2"/>
        <v>1250</v>
      </c>
      <c r="Q29" s="1270" t="str">
        <f>_xlfn.CONCAT($Q$2,$E29,$Q$3)</f>
        <v>CAL-M4X-NEW</v>
      </c>
      <c r="R29" s="1271" t="str">
        <f>_xlfn.CONCAT($R$2,$E29,$R$3)</f>
        <v>CAL-M4X-CUST</v>
      </c>
      <c r="S29" s="350"/>
      <c r="T29" s="350"/>
    </row>
    <row r="30" spans="2:20" s="658" customFormat="1" x14ac:dyDescent="0.25">
      <c r="B30" s="702">
        <v>0.626</v>
      </c>
      <c r="C30" s="702">
        <v>0.75</v>
      </c>
      <c r="E30" s="658" t="s">
        <v>900</v>
      </c>
      <c r="F30" s="539">
        <v>125</v>
      </c>
      <c r="G30" s="725"/>
      <c r="H30" s="700">
        <f t="shared" si="3"/>
        <v>8</v>
      </c>
      <c r="I30" s="700">
        <f t="shared" si="4"/>
        <v>10</v>
      </c>
      <c r="J30"/>
      <c r="L30" s="727" t="s">
        <v>109</v>
      </c>
      <c r="M30" s="713" t="str">
        <f t="shared" si="0"/>
        <v>.626" - .750"</v>
      </c>
      <c r="N30" s="717">
        <f t="shared" si="1"/>
        <v>1000</v>
      </c>
      <c r="O30" s="710">
        <f t="shared" si="2"/>
        <v>1250</v>
      </c>
      <c r="Q30" s="1270"/>
      <c r="R30" s="1271"/>
      <c r="S30" s="350"/>
      <c r="T30" s="350"/>
    </row>
    <row r="31" spans="2:20" s="658" customFormat="1" x14ac:dyDescent="0.25">
      <c r="B31" s="702">
        <v>0.62649999999999995</v>
      </c>
      <c r="C31" s="702">
        <v>0.75049999999999994</v>
      </c>
      <c r="E31" s="658" t="s">
        <v>901</v>
      </c>
      <c r="F31" s="539">
        <v>125</v>
      </c>
      <c r="G31" s="725"/>
      <c r="H31" s="700">
        <f t="shared" si="3"/>
        <v>8</v>
      </c>
      <c r="I31" s="700">
        <f t="shared" si="4"/>
        <v>10</v>
      </c>
      <c r="J31"/>
      <c r="L31" s="711" t="s">
        <v>110</v>
      </c>
      <c r="M31" s="714" t="str">
        <f t="shared" si="0"/>
        <v>.6265" - .7505"</v>
      </c>
      <c r="N31" s="718">
        <f t="shared" si="1"/>
        <v>1000</v>
      </c>
      <c r="O31" s="712">
        <f t="shared" si="2"/>
        <v>1250</v>
      </c>
      <c r="Q31" s="1272" t="str">
        <f>_xlfn.CONCAT($Q$2,$E31,$Q$3)</f>
        <v>CAL-M45X-NEW</v>
      </c>
      <c r="R31" s="1274" t="str">
        <f>_xlfn.CONCAT($R$2,$E31,$R$3)</f>
        <v>CAL-M45X-CUST</v>
      </c>
      <c r="S31" s="350"/>
      <c r="T31" s="350"/>
    </row>
    <row r="32" spans="2:20" s="658" customFormat="1" x14ac:dyDescent="0.25">
      <c r="B32" s="702">
        <v>0.62649999999999995</v>
      </c>
      <c r="C32" s="702">
        <v>0.75049999999999994</v>
      </c>
      <c r="E32" s="658" t="s">
        <v>901</v>
      </c>
      <c r="F32" s="539">
        <v>125</v>
      </c>
      <c r="G32" s="725"/>
      <c r="H32" s="700">
        <f t="shared" si="3"/>
        <v>8</v>
      </c>
      <c r="I32" s="700">
        <f t="shared" si="4"/>
        <v>10</v>
      </c>
      <c r="J32"/>
      <c r="L32" s="728" t="s">
        <v>111</v>
      </c>
      <c r="M32" s="715" t="str">
        <f t="shared" si="0"/>
        <v>.6265" - .7505"</v>
      </c>
      <c r="N32" s="719">
        <f t="shared" si="1"/>
        <v>1000</v>
      </c>
      <c r="O32" s="175">
        <f t="shared" si="2"/>
        <v>1250</v>
      </c>
      <c r="Q32" s="1276"/>
      <c r="R32" s="1277"/>
      <c r="S32" s="350"/>
      <c r="T32" s="350"/>
    </row>
    <row r="33" spans="2:20" s="658" customFormat="1" x14ac:dyDescent="0.25">
      <c r="B33" s="702">
        <v>0.751</v>
      </c>
      <c r="C33" s="702">
        <v>0.83199999999999996</v>
      </c>
      <c r="E33" s="658" t="s">
        <v>902</v>
      </c>
      <c r="F33" s="539">
        <v>82</v>
      </c>
      <c r="G33" s="725"/>
      <c r="H33" s="700">
        <f t="shared" si="3"/>
        <v>8</v>
      </c>
      <c r="I33" s="700">
        <f t="shared" si="4"/>
        <v>10</v>
      </c>
      <c r="J33"/>
      <c r="L33" s="727" t="s">
        <v>112</v>
      </c>
      <c r="M33" s="713" t="str">
        <f t="shared" si="0"/>
        <v>.751" - .832"</v>
      </c>
      <c r="N33" s="717">
        <f t="shared" si="1"/>
        <v>660</v>
      </c>
      <c r="O33" s="710">
        <f t="shared" si="2"/>
        <v>820</v>
      </c>
      <c r="Q33" s="1270" t="str">
        <f>_xlfn.CONCAT($Q$2,$E33,$Q$3)</f>
        <v>CAL-M5X-NEW</v>
      </c>
      <c r="R33" s="1271" t="str">
        <f>_xlfn.CONCAT($R$2,$E33,$R$3)</f>
        <v>CAL-M5X-CUST</v>
      </c>
      <c r="S33" s="350"/>
      <c r="T33" s="350"/>
    </row>
    <row r="34" spans="2:20" s="658" customFormat="1" x14ac:dyDescent="0.25">
      <c r="B34" s="702">
        <v>0.751</v>
      </c>
      <c r="C34" s="702">
        <v>0.83199999999999996</v>
      </c>
      <c r="E34" s="658" t="s">
        <v>902</v>
      </c>
      <c r="F34" s="539">
        <v>82</v>
      </c>
      <c r="G34" s="725"/>
      <c r="H34" s="700">
        <f t="shared" si="3"/>
        <v>8</v>
      </c>
      <c r="I34" s="700">
        <f t="shared" si="4"/>
        <v>10</v>
      </c>
      <c r="J34"/>
      <c r="L34" s="727" t="s">
        <v>113</v>
      </c>
      <c r="M34" s="713" t="str">
        <f t="shared" si="0"/>
        <v>.751" - .832"</v>
      </c>
      <c r="N34" s="717">
        <f t="shared" si="1"/>
        <v>660</v>
      </c>
      <c r="O34" s="710">
        <f t="shared" si="2"/>
        <v>820</v>
      </c>
      <c r="Q34" s="1270"/>
      <c r="R34" s="1271"/>
      <c r="S34" s="350"/>
      <c r="T34" s="350"/>
    </row>
    <row r="35" spans="2:20" s="658" customFormat="1" x14ac:dyDescent="0.25">
      <c r="B35" s="702">
        <v>0.75149999999999995</v>
      </c>
      <c r="C35" s="702">
        <v>0.83250000000000002</v>
      </c>
      <c r="E35" s="658" t="s">
        <v>903</v>
      </c>
      <c r="F35" s="539">
        <v>82</v>
      </c>
      <c r="G35" s="725"/>
      <c r="H35" s="700">
        <f t="shared" si="3"/>
        <v>8</v>
      </c>
      <c r="I35" s="700">
        <f t="shared" si="4"/>
        <v>10</v>
      </c>
      <c r="J35"/>
      <c r="L35" s="711" t="s">
        <v>114</v>
      </c>
      <c r="M35" s="714" t="str">
        <f t="shared" si="0"/>
        <v>.7515" - .8325"</v>
      </c>
      <c r="N35" s="718">
        <f t="shared" si="1"/>
        <v>660</v>
      </c>
      <c r="O35" s="712">
        <f t="shared" si="2"/>
        <v>820</v>
      </c>
      <c r="Q35" s="1272" t="str">
        <f>_xlfn.CONCAT($Q$2,$E35,$Q$3)</f>
        <v>CAL-M55X-NEW</v>
      </c>
      <c r="R35" s="1274" t="str">
        <f>_xlfn.CONCAT($R$2,$E35,$R$3)</f>
        <v>CAL-M55X-CUST</v>
      </c>
      <c r="S35" s="350"/>
      <c r="T35" s="350"/>
    </row>
    <row r="36" spans="2:20" s="658" customFormat="1" x14ac:dyDescent="0.25">
      <c r="B36" s="702">
        <v>0.75149999999999995</v>
      </c>
      <c r="C36" s="702">
        <v>0.83250000000000002</v>
      </c>
      <c r="E36" s="658" t="s">
        <v>903</v>
      </c>
      <c r="F36" s="539">
        <v>82</v>
      </c>
      <c r="G36" s="725"/>
      <c r="H36" s="700">
        <f t="shared" si="3"/>
        <v>8</v>
      </c>
      <c r="I36" s="700">
        <f t="shared" si="4"/>
        <v>10</v>
      </c>
      <c r="J36"/>
      <c r="L36" s="728" t="s">
        <v>115</v>
      </c>
      <c r="M36" s="715" t="str">
        <f t="shared" si="0"/>
        <v>.7515" - .8325"</v>
      </c>
      <c r="N36" s="719">
        <f t="shared" si="1"/>
        <v>660</v>
      </c>
      <c r="O36" s="175">
        <f t="shared" si="2"/>
        <v>820</v>
      </c>
      <c r="Q36" s="1276"/>
      <c r="R36" s="1277"/>
      <c r="S36" s="350"/>
      <c r="T36" s="350"/>
    </row>
    <row r="37" spans="2:20" s="658" customFormat="1" x14ac:dyDescent="0.25">
      <c r="B37" s="702">
        <v>0.83299999999999996</v>
      </c>
      <c r="C37" s="702">
        <v>0.91600000000000004</v>
      </c>
      <c r="E37" s="658" t="s">
        <v>904</v>
      </c>
      <c r="F37" s="539">
        <v>84</v>
      </c>
      <c r="G37" s="725"/>
      <c r="H37" s="700">
        <f t="shared" si="3"/>
        <v>8</v>
      </c>
      <c r="I37" s="700">
        <f t="shared" si="4"/>
        <v>10</v>
      </c>
      <c r="J37"/>
      <c r="L37" s="727" t="s">
        <v>116</v>
      </c>
      <c r="M37" s="713" t="str">
        <f t="shared" si="0"/>
        <v>.833" - .916"</v>
      </c>
      <c r="N37" s="717">
        <f t="shared" si="1"/>
        <v>670</v>
      </c>
      <c r="O37" s="710">
        <f t="shared" si="2"/>
        <v>840</v>
      </c>
      <c r="Q37" s="1270" t="str">
        <f>_xlfn.CONCAT($Q$2,$E37,$Q$3)</f>
        <v>CAL-M6X-NEW</v>
      </c>
      <c r="R37" s="1271" t="str">
        <f>_xlfn.CONCAT($R$2,$E37,$R$3)</f>
        <v>CAL-M6X-CUST</v>
      </c>
      <c r="S37" s="350"/>
      <c r="T37" s="350"/>
    </row>
    <row r="38" spans="2:20" s="658" customFormat="1" x14ac:dyDescent="0.25">
      <c r="B38" s="702">
        <v>0.83299999999999996</v>
      </c>
      <c r="C38" s="702">
        <v>0.91600000000000004</v>
      </c>
      <c r="E38" s="658" t="s">
        <v>904</v>
      </c>
      <c r="F38" s="539">
        <v>84</v>
      </c>
      <c r="G38" s="725"/>
      <c r="H38" s="700">
        <f t="shared" si="3"/>
        <v>8</v>
      </c>
      <c r="I38" s="700">
        <f t="shared" si="4"/>
        <v>10</v>
      </c>
      <c r="J38"/>
      <c r="L38" s="727" t="s">
        <v>117</v>
      </c>
      <c r="M38" s="713" t="str">
        <f t="shared" si="0"/>
        <v>.833" - .916"</v>
      </c>
      <c r="N38" s="717">
        <f t="shared" si="1"/>
        <v>670</v>
      </c>
      <c r="O38" s="710">
        <f t="shared" si="2"/>
        <v>840</v>
      </c>
      <c r="Q38" s="1270"/>
      <c r="R38" s="1271"/>
      <c r="S38" s="350"/>
      <c r="T38" s="350"/>
    </row>
    <row r="39" spans="2:20" s="658" customFormat="1" x14ac:dyDescent="0.25">
      <c r="B39" s="702">
        <v>0.83350000000000002</v>
      </c>
      <c r="C39" s="702">
        <v>0.91649999999999998</v>
      </c>
      <c r="E39" s="658" t="s">
        <v>905</v>
      </c>
      <c r="F39" s="539">
        <v>84</v>
      </c>
      <c r="G39" s="725"/>
      <c r="H39" s="700">
        <f t="shared" si="3"/>
        <v>8</v>
      </c>
      <c r="I39" s="700">
        <f t="shared" si="4"/>
        <v>10</v>
      </c>
      <c r="J39"/>
      <c r="L39" s="711" t="s">
        <v>118</v>
      </c>
      <c r="M39" s="714" t="str">
        <f t="shared" si="0"/>
        <v>.8335" - .9165"</v>
      </c>
      <c r="N39" s="718">
        <f t="shared" si="1"/>
        <v>670</v>
      </c>
      <c r="O39" s="712">
        <f t="shared" si="2"/>
        <v>840</v>
      </c>
      <c r="Q39" s="1272" t="str">
        <f>_xlfn.CONCAT($Q$2,$E39,$Q$3)</f>
        <v>CAL-M65X-NEW</v>
      </c>
      <c r="R39" s="1274" t="str">
        <f>_xlfn.CONCAT($R$2,$E39,$R$3)</f>
        <v>CAL-M65X-CUST</v>
      </c>
      <c r="S39" s="350"/>
      <c r="T39" s="350"/>
    </row>
    <row r="40" spans="2:20" s="658" customFormat="1" x14ac:dyDescent="0.25">
      <c r="B40" s="702">
        <v>0.83350000000000002</v>
      </c>
      <c r="C40" s="702">
        <v>0.91649999999999998</v>
      </c>
      <c r="E40" s="658" t="s">
        <v>905</v>
      </c>
      <c r="F40" s="539">
        <v>84</v>
      </c>
      <c r="G40" s="725"/>
      <c r="H40" s="700">
        <f t="shared" si="3"/>
        <v>8</v>
      </c>
      <c r="I40" s="700">
        <f t="shared" si="4"/>
        <v>10</v>
      </c>
      <c r="J40"/>
      <c r="L40" s="728" t="s">
        <v>119</v>
      </c>
      <c r="M40" s="715" t="str">
        <f t="shared" si="0"/>
        <v>.8335" - .9165"</v>
      </c>
      <c r="N40" s="719">
        <f t="shared" si="1"/>
        <v>670</v>
      </c>
      <c r="O40" s="175">
        <f t="shared" si="2"/>
        <v>840</v>
      </c>
      <c r="Q40" s="1276"/>
      <c r="R40" s="1277"/>
      <c r="S40" s="350"/>
      <c r="T40" s="350"/>
    </row>
    <row r="41" spans="2:20" s="658" customFormat="1" x14ac:dyDescent="0.25">
      <c r="B41" s="702">
        <v>0.91700000000000004</v>
      </c>
      <c r="C41" s="702">
        <v>1</v>
      </c>
      <c r="E41" s="658" t="s">
        <v>906</v>
      </c>
      <c r="F41" s="539">
        <v>84</v>
      </c>
      <c r="G41" s="725"/>
      <c r="H41" s="700">
        <f t="shared" si="3"/>
        <v>8</v>
      </c>
      <c r="I41" s="700">
        <f t="shared" si="4"/>
        <v>10</v>
      </c>
      <c r="J41"/>
      <c r="L41" s="727" t="s">
        <v>120</v>
      </c>
      <c r="M41" s="713" t="str">
        <f t="shared" si="0"/>
        <v>.917" - 1.000"</v>
      </c>
      <c r="N41" s="717">
        <f t="shared" si="1"/>
        <v>670</v>
      </c>
      <c r="O41" s="710">
        <f t="shared" si="2"/>
        <v>840</v>
      </c>
      <c r="Q41" s="1270" t="str">
        <f>_xlfn.CONCAT($Q$2,$E41,$Q$3)</f>
        <v>CAL-M7X-NEW</v>
      </c>
      <c r="R41" s="1271" t="str">
        <f>_xlfn.CONCAT($R$2,$E41,$R$3)</f>
        <v>CAL-M7X-CUST</v>
      </c>
      <c r="S41" s="350"/>
      <c r="T41" s="350"/>
    </row>
    <row r="42" spans="2:20" s="658" customFormat="1" x14ac:dyDescent="0.25">
      <c r="B42" s="702">
        <v>0.91700000000000004</v>
      </c>
      <c r="C42" s="702">
        <v>1</v>
      </c>
      <c r="E42" s="658" t="s">
        <v>906</v>
      </c>
      <c r="F42" s="539">
        <v>84</v>
      </c>
      <c r="G42" s="725"/>
      <c r="H42" s="700">
        <f t="shared" si="3"/>
        <v>8</v>
      </c>
      <c r="I42" s="700">
        <f t="shared" si="4"/>
        <v>10</v>
      </c>
      <c r="J42"/>
      <c r="L42" s="727" t="s">
        <v>121</v>
      </c>
      <c r="M42" s="713" t="str">
        <f t="shared" si="0"/>
        <v>.917" - 1.000"</v>
      </c>
      <c r="N42" s="717">
        <f t="shared" si="1"/>
        <v>670</v>
      </c>
      <c r="O42" s="710">
        <f t="shared" si="2"/>
        <v>840</v>
      </c>
      <c r="Q42" s="1270"/>
      <c r="R42" s="1271"/>
      <c r="S42" s="350"/>
      <c r="T42" s="350"/>
    </row>
    <row r="43" spans="2:20" s="658" customFormat="1" x14ac:dyDescent="0.25">
      <c r="B43" s="702">
        <v>0.91749999999999998</v>
      </c>
      <c r="C43" s="702">
        <v>1.0004999999999999</v>
      </c>
      <c r="E43" s="658" t="s">
        <v>907</v>
      </c>
      <c r="F43" s="539">
        <v>84</v>
      </c>
      <c r="G43" s="725"/>
      <c r="H43" s="700">
        <f t="shared" si="3"/>
        <v>8</v>
      </c>
      <c r="I43" s="700">
        <f t="shared" si="4"/>
        <v>10</v>
      </c>
      <c r="J43"/>
      <c r="L43" s="711" t="s">
        <v>122</v>
      </c>
      <c r="M43" s="714" t="str">
        <f t="shared" si="0"/>
        <v>.9175" - 1.0005"</v>
      </c>
      <c r="N43" s="718">
        <f t="shared" si="1"/>
        <v>670</v>
      </c>
      <c r="O43" s="712">
        <f t="shared" si="2"/>
        <v>840</v>
      </c>
      <c r="Q43" s="1272" t="str">
        <f>_xlfn.CONCAT($Q$2,$E43,$Q$3)</f>
        <v>CAL-M75X-NEW</v>
      </c>
      <c r="R43" s="1274" t="str">
        <f>_xlfn.CONCAT($R$2,$E43,$R$3)</f>
        <v>CAL-M75X-CUST</v>
      </c>
      <c r="S43" s="350"/>
      <c r="T43" s="350"/>
    </row>
    <row r="44" spans="2:20" s="658" customFormat="1" ht="15.75" thickBot="1" x14ac:dyDescent="0.3">
      <c r="B44" s="702">
        <v>0.91749999999999998</v>
      </c>
      <c r="C44" s="702">
        <v>1.0004999999999999</v>
      </c>
      <c r="E44" s="658" t="s">
        <v>907</v>
      </c>
      <c r="F44" s="539">
        <v>84</v>
      </c>
      <c r="G44" s="725"/>
      <c r="H44" s="700">
        <f t="shared" si="3"/>
        <v>8</v>
      </c>
      <c r="I44" s="700">
        <f t="shared" si="4"/>
        <v>10</v>
      </c>
      <c r="J44"/>
      <c r="L44" s="729" t="s">
        <v>123</v>
      </c>
      <c r="M44" s="716" t="str">
        <f t="shared" si="0"/>
        <v>.9175" - 1.0005"</v>
      </c>
      <c r="N44" s="720">
        <f t="shared" si="1"/>
        <v>670</v>
      </c>
      <c r="O44" s="178">
        <f t="shared" si="2"/>
        <v>840</v>
      </c>
      <c r="Q44" s="1273"/>
      <c r="R44" s="1275"/>
      <c r="S44" s="350"/>
      <c r="T44" s="350"/>
    </row>
    <row r="45" spans="2:20" s="658" customFormat="1" x14ac:dyDescent="0.25">
      <c r="B45" s="702"/>
      <c r="C45" s="702"/>
      <c r="G45" s="725"/>
      <c r="H45" s="725"/>
      <c r="I45" s="725"/>
      <c r="J45"/>
      <c r="L45" s="726"/>
      <c r="M45" s="701"/>
      <c r="N45" s="700"/>
      <c r="O45" s="700"/>
      <c r="Q45"/>
      <c r="S45" s="350"/>
      <c r="T45" s="350"/>
    </row>
    <row r="46" spans="2:20" s="658" customFormat="1" ht="15.75" thickBot="1" x14ac:dyDescent="0.3">
      <c r="H46" s="708"/>
      <c r="I46" s="708"/>
      <c r="J46"/>
      <c r="N46" s="700"/>
      <c r="O46" s="700"/>
      <c r="S46" s="350"/>
      <c r="T46" s="350"/>
    </row>
    <row r="47" spans="2:20" s="658" customFormat="1" x14ac:dyDescent="0.25">
      <c r="B47" s="732" t="s">
        <v>888</v>
      </c>
      <c r="C47" s="702">
        <v>1E-3</v>
      </c>
      <c r="D47" s="706"/>
      <c r="E47" s="725" t="s">
        <v>915</v>
      </c>
      <c r="F47" s="725"/>
      <c r="J47"/>
      <c r="K47" s="705"/>
      <c r="L47" s="595" t="str">
        <f>_xlfn.CONCAT($B47," (",(TEXT(C47,".000")),E47," Increments)")</f>
        <v>Inch Libraries (.001" Increments)</v>
      </c>
      <c r="M47" s="595"/>
      <c r="N47" s="595"/>
      <c r="O47" s="683"/>
      <c r="Q47" s="592" t="s">
        <v>1400</v>
      </c>
      <c r="R47" s="593"/>
      <c r="S47" s="350"/>
      <c r="T47" s="350"/>
    </row>
    <row r="48" spans="2:20" s="658" customFormat="1" x14ac:dyDescent="0.25">
      <c r="H48" s="708"/>
      <c r="I48" s="708"/>
      <c r="J48"/>
      <c r="L48" s="1234" t="s">
        <v>1408</v>
      </c>
      <c r="M48" s="1235" t="s">
        <v>3</v>
      </c>
      <c r="N48" s="1235" t="s">
        <v>558</v>
      </c>
      <c r="O48" s="1236" t="s">
        <v>564</v>
      </c>
      <c r="Q48" s="1247" t="s">
        <v>558</v>
      </c>
      <c r="R48" s="1248" t="s">
        <v>564</v>
      </c>
      <c r="S48" s="350"/>
      <c r="T48" s="350"/>
    </row>
    <row r="49" spans="2:20" s="658" customFormat="1" x14ac:dyDescent="0.25">
      <c r="B49" s="702">
        <v>1.0999999999999999E-2</v>
      </c>
      <c r="C49" s="702">
        <v>0.75</v>
      </c>
      <c r="E49" s="658" t="s">
        <v>908</v>
      </c>
      <c r="F49" s="539">
        <v>615</v>
      </c>
      <c r="G49" s="725"/>
      <c r="H49" s="733">
        <v>7.5</v>
      </c>
      <c r="I49" s="733">
        <v>9.5</v>
      </c>
      <c r="J49"/>
      <c r="L49" s="730" t="s">
        <v>174</v>
      </c>
      <c r="M49" s="713" t="str">
        <f t="shared" ref="M49:M60" si="5">_xlfn.CONCAT(TEXT($B49,"#.000#"),""""," - ",TEXT($C49,"#.000#"),"""")</f>
        <v>.011" - .750"</v>
      </c>
      <c r="N49" s="717">
        <f t="shared" ref="N49:N60" si="6">MROUND(PRODUCT($H49,$F49),10)</f>
        <v>4610</v>
      </c>
      <c r="O49" s="710">
        <f t="shared" ref="O49:O60" si="7">MROUND(PRODUCT($I49,$F49),10)</f>
        <v>5840</v>
      </c>
      <c r="Q49" s="1278" t="str">
        <f>_xlfn.CONCAT($Q$2,$E49,$Q$3)</f>
        <v>CAL-LCX-NEW</v>
      </c>
      <c r="R49" s="1279" t="str">
        <f>_xlfn.CONCAT($R$2,$E49,$R$3)</f>
        <v>CAL-LCX-CUST</v>
      </c>
      <c r="S49" s="350"/>
      <c r="T49" s="350"/>
    </row>
    <row r="50" spans="2:20" s="658" customFormat="1" x14ac:dyDescent="0.25">
      <c r="B50" s="702">
        <v>1.0999999999999999E-2</v>
      </c>
      <c r="C50" s="702">
        <v>0.75</v>
      </c>
      <c r="E50" s="658" t="s">
        <v>908</v>
      </c>
      <c r="F50" s="539">
        <v>615</v>
      </c>
      <c r="G50" s="725"/>
      <c r="H50" s="700">
        <f>H49</f>
        <v>7.5</v>
      </c>
      <c r="I50" s="700">
        <f>I49</f>
        <v>9.5</v>
      </c>
      <c r="J50"/>
      <c r="L50" s="730" t="s">
        <v>175</v>
      </c>
      <c r="M50" s="713" t="str">
        <f t="shared" si="5"/>
        <v>.011" - .750"</v>
      </c>
      <c r="N50" s="717">
        <f t="shared" si="6"/>
        <v>4610</v>
      </c>
      <c r="O50" s="710">
        <f t="shared" si="7"/>
        <v>5840</v>
      </c>
      <c r="Q50" s="1270"/>
      <c r="R50" s="1271"/>
      <c r="S50" s="350"/>
      <c r="T50" s="350"/>
    </row>
    <row r="51" spans="2:20" s="658" customFormat="1" x14ac:dyDescent="0.25">
      <c r="B51" s="702">
        <v>6.0999999999999999E-2</v>
      </c>
      <c r="C51" s="702">
        <v>0.75</v>
      </c>
      <c r="E51" s="658" t="s">
        <v>909</v>
      </c>
      <c r="F51" s="539">
        <v>615</v>
      </c>
      <c r="G51" s="725"/>
      <c r="H51" s="700">
        <f t="shared" ref="H51:H60" si="8">H50</f>
        <v>7.5</v>
      </c>
      <c r="I51" s="700">
        <f t="shared" ref="I51:I60" si="9">I50</f>
        <v>9.5</v>
      </c>
      <c r="J51"/>
      <c r="L51" s="711" t="s">
        <v>172</v>
      </c>
      <c r="M51" s="714" t="str">
        <f t="shared" si="5"/>
        <v>.061" - .750"</v>
      </c>
      <c r="N51" s="718">
        <f t="shared" si="6"/>
        <v>4610</v>
      </c>
      <c r="O51" s="712">
        <f t="shared" si="7"/>
        <v>5840</v>
      </c>
      <c r="Q51" s="1272" t="str">
        <f>_xlfn.CONCAT($Q$2,$E51,$Q$3)</f>
        <v>CAL-L1X-NEW</v>
      </c>
      <c r="R51" s="1274" t="str">
        <f>_xlfn.CONCAT($R$2,$E51,$R$3)</f>
        <v>CAL-L1X-CUST</v>
      </c>
      <c r="S51" s="350"/>
      <c r="T51" s="350"/>
    </row>
    <row r="52" spans="2:20" s="658" customFormat="1" x14ac:dyDescent="0.25">
      <c r="B52" s="702">
        <v>6.0999999999999999E-2</v>
      </c>
      <c r="C52" s="702">
        <v>0.75</v>
      </c>
      <c r="E52" s="658" t="s">
        <v>909</v>
      </c>
      <c r="F52" s="539">
        <v>615</v>
      </c>
      <c r="G52" s="725"/>
      <c r="H52" s="700">
        <f t="shared" si="8"/>
        <v>7.5</v>
      </c>
      <c r="I52" s="700">
        <f t="shared" si="9"/>
        <v>9.5</v>
      </c>
      <c r="J52"/>
      <c r="L52" s="728" t="s">
        <v>173</v>
      </c>
      <c r="M52" s="715" t="str">
        <f t="shared" si="5"/>
        <v>.061" - .750"</v>
      </c>
      <c r="N52" s="719">
        <f t="shared" si="6"/>
        <v>4610</v>
      </c>
      <c r="O52" s="175">
        <f t="shared" si="7"/>
        <v>5840</v>
      </c>
      <c r="Q52" s="1276"/>
      <c r="R52" s="1277"/>
      <c r="S52" s="350"/>
      <c r="T52" s="350"/>
    </row>
    <row r="53" spans="2:20" s="658" customFormat="1" x14ac:dyDescent="0.25">
      <c r="B53" s="702">
        <v>1.0999999999999999E-2</v>
      </c>
      <c r="C53" s="702">
        <v>0.50049999999999994</v>
      </c>
      <c r="E53" s="658" t="s">
        <v>910</v>
      </c>
      <c r="F53" s="539">
        <v>740</v>
      </c>
      <c r="G53" s="725"/>
      <c r="H53" s="700">
        <f t="shared" si="8"/>
        <v>7.5</v>
      </c>
      <c r="I53" s="700">
        <f t="shared" si="9"/>
        <v>9.5</v>
      </c>
      <c r="J53"/>
      <c r="L53" s="730" t="s">
        <v>178</v>
      </c>
      <c r="M53" s="713" t="str">
        <f t="shared" si="5"/>
        <v>.011" - .5005"</v>
      </c>
      <c r="N53" s="717">
        <f t="shared" si="6"/>
        <v>5550</v>
      </c>
      <c r="O53" s="710">
        <f t="shared" si="7"/>
        <v>7030</v>
      </c>
      <c r="Q53" s="1270" t="str">
        <f>_xlfn.CONCAT($Q$2,$E53,$Q$3)</f>
        <v>CAL-L2CX-NEW</v>
      </c>
      <c r="R53" s="1271" t="str">
        <f>_xlfn.CONCAT($R$2,$E53,$R$3)</f>
        <v>CAL-L2CX-CUST</v>
      </c>
      <c r="S53" s="350"/>
      <c r="T53" s="350"/>
    </row>
    <row r="54" spans="2:20" s="658" customFormat="1" x14ac:dyDescent="0.25">
      <c r="B54" s="702">
        <v>1.0999999999999999E-2</v>
      </c>
      <c r="C54" s="702">
        <v>0.50049999999999994</v>
      </c>
      <c r="E54" s="658" t="s">
        <v>910</v>
      </c>
      <c r="F54" s="539">
        <v>740</v>
      </c>
      <c r="G54" s="725"/>
      <c r="H54" s="700">
        <f t="shared" si="8"/>
        <v>7.5</v>
      </c>
      <c r="I54" s="700">
        <f t="shared" si="9"/>
        <v>9.5</v>
      </c>
      <c r="J54"/>
      <c r="L54" s="730" t="s">
        <v>179</v>
      </c>
      <c r="M54" s="713" t="str">
        <f t="shared" si="5"/>
        <v>.011" - .5005"</v>
      </c>
      <c r="N54" s="717">
        <f t="shared" si="6"/>
        <v>5550</v>
      </c>
      <c r="O54" s="710">
        <f t="shared" si="7"/>
        <v>7030</v>
      </c>
      <c r="Q54" s="1270"/>
      <c r="R54" s="1271"/>
      <c r="S54" s="350"/>
      <c r="T54" s="350"/>
    </row>
    <row r="55" spans="2:20" s="658" customFormat="1" x14ac:dyDescent="0.25">
      <c r="B55" s="702">
        <v>6.0999999999999999E-2</v>
      </c>
      <c r="C55" s="702">
        <v>0.50049999999999994</v>
      </c>
      <c r="E55" s="658" t="s">
        <v>911</v>
      </c>
      <c r="F55" s="539">
        <v>740</v>
      </c>
      <c r="G55" s="725"/>
      <c r="H55" s="700">
        <f t="shared" si="8"/>
        <v>7.5</v>
      </c>
      <c r="I55" s="700">
        <f t="shared" si="9"/>
        <v>9.5</v>
      </c>
      <c r="J55"/>
      <c r="L55" s="711" t="s">
        <v>176</v>
      </c>
      <c r="M55" s="714" t="str">
        <f t="shared" si="5"/>
        <v>.061" - .5005"</v>
      </c>
      <c r="N55" s="718">
        <f t="shared" si="6"/>
        <v>5550</v>
      </c>
      <c r="O55" s="712">
        <f t="shared" si="7"/>
        <v>7030</v>
      </c>
      <c r="Q55" s="1272" t="str">
        <f>_xlfn.CONCAT($Q$2,$E55,$Q$3)</f>
        <v>CAL-L2X-NEW</v>
      </c>
      <c r="R55" s="1274" t="str">
        <f>_xlfn.CONCAT($R$2,$E55,$R$3)</f>
        <v>CAL-L2X-CUST</v>
      </c>
      <c r="S55" s="350"/>
      <c r="T55" s="350"/>
    </row>
    <row r="56" spans="2:20" s="658" customFormat="1" x14ac:dyDescent="0.25">
      <c r="B56" s="702">
        <v>6.0999999999999999E-2</v>
      </c>
      <c r="C56" s="702">
        <v>0.50049999999999994</v>
      </c>
      <c r="E56" s="658" t="s">
        <v>911</v>
      </c>
      <c r="F56" s="539">
        <v>740</v>
      </c>
      <c r="G56" s="725"/>
      <c r="H56" s="700">
        <f t="shared" si="8"/>
        <v>7.5</v>
      </c>
      <c r="I56" s="700">
        <f t="shared" si="9"/>
        <v>9.5</v>
      </c>
      <c r="J56"/>
      <c r="L56" s="728" t="s">
        <v>177</v>
      </c>
      <c r="M56" s="715" t="str">
        <f t="shared" si="5"/>
        <v>.061" - .5005"</v>
      </c>
      <c r="N56" s="719">
        <f t="shared" si="6"/>
        <v>5550</v>
      </c>
      <c r="O56" s="175">
        <f t="shared" si="7"/>
        <v>7030</v>
      </c>
      <c r="Q56" s="1276"/>
      <c r="R56" s="1277"/>
      <c r="S56" s="350"/>
      <c r="T56" s="350"/>
    </row>
    <row r="57" spans="2:20" s="658" customFormat="1" x14ac:dyDescent="0.25">
      <c r="B57" s="702">
        <v>6.0999999999999999E-2</v>
      </c>
      <c r="C57" s="702">
        <v>1</v>
      </c>
      <c r="E57" s="658" t="s">
        <v>912</v>
      </c>
      <c r="F57" s="539">
        <v>690</v>
      </c>
      <c r="G57" s="725"/>
      <c r="H57" s="700">
        <f t="shared" si="8"/>
        <v>7.5</v>
      </c>
      <c r="I57" s="700">
        <f t="shared" si="9"/>
        <v>9.5</v>
      </c>
      <c r="J57"/>
      <c r="L57" s="730" t="s">
        <v>180</v>
      </c>
      <c r="M57" s="713" t="str">
        <f t="shared" si="5"/>
        <v>.061" - 1.000"</v>
      </c>
      <c r="N57" s="717">
        <f t="shared" si="6"/>
        <v>5180</v>
      </c>
      <c r="O57" s="710">
        <f t="shared" si="7"/>
        <v>6560</v>
      </c>
      <c r="Q57" s="1278" t="str">
        <f>_xlfn.CONCAT($Q$2,$E57,$Q$3)</f>
        <v>CAL-L3X-NEW</v>
      </c>
      <c r="R57" s="1279" t="str">
        <f>_xlfn.CONCAT($R$2,$E57,$R$3)</f>
        <v>CAL-L3X-CUST</v>
      </c>
      <c r="S57" s="350"/>
      <c r="T57" s="350"/>
    </row>
    <row r="58" spans="2:20" s="658" customFormat="1" x14ac:dyDescent="0.25">
      <c r="B58" s="702">
        <v>6.0999999999999999E-2</v>
      </c>
      <c r="C58" s="702">
        <v>1</v>
      </c>
      <c r="E58" s="658" t="s">
        <v>912</v>
      </c>
      <c r="F58" s="539">
        <v>690</v>
      </c>
      <c r="G58" s="725"/>
      <c r="H58" s="700">
        <f t="shared" si="8"/>
        <v>7.5</v>
      </c>
      <c r="I58" s="700">
        <f t="shared" si="9"/>
        <v>9.5</v>
      </c>
      <c r="J58"/>
      <c r="L58" s="730" t="s">
        <v>181</v>
      </c>
      <c r="M58" s="713" t="str">
        <f t="shared" si="5"/>
        <v>.061" - 1.000"</v>
      </c>
      <c r="N58" s="717">
        <f t="shared" si="6"/>
        <v>5180</v>
      </c>
      <c r="O58" s="710">
        <f t="shared" si="7"/>
        <v>6560</v>
      </c>
      <c r="Q58" s="1270"/>
      <c r="R58" s="1271"/>
      <c r="S58" s="350"/>
      <c r="T58" s="350"/>
    </row>
    <row r="59" spans="2:20" s="658" customFormat="1" x14ac:dyDescent="0.25">
      <c r="B59" s="702">
        <v>1.0999999999999999E-2</v>
      </c>
      <c r="C59" s="702">
        <v>1</v>
      </c>
      <c r="E59" s="658" t="s">
        <v>913</v>
      </c>
      <c r="F59" s="539">
        <v>690</v>
      </c>
      <c r="G59" s="725"/>
      <c r="H59" s="700">
        <f t="shared" si="8"/>
        <v>7.5</v>
      </c>
      <c r="I59" s="700">
        <f t="shared" si="9"/>
        <v>9.5</v>
      </c>
      <c r="J59"/>
      <c r="L59" s="711" t="s">
        <v>182</v>
      </c>
      <c r="M59" s="714" t="str">
        <f t="shared" si="5"/>
        <v>.011" - 1.000"</v>
      </c>
      <c r="N59" s="718">
        <f t="shared" si="6"/>
        <v>5180</v>
      </c>
      <c r="O59" s="712">
        <f t="shared" si="7"/>
        <v>6560</v>
      </c>
      <c r="Q59" s="1272" t="str">
        <f>_xlfn.CONCAT($Q$2,$E59,$Q$3)</f>
        <v>CAL-L4X-NEW</v>
      </c>
      <c r="R59" s="1274" t="str">
        <f>_xlfn.CONCAT($R$2,$E59,$R$3)</f>
        <v>CAL-L4X-CUST</v>
      </c>
      <c r="S59" s="350"/>
      <c r="T59" s="350"/>
    </row>
    <row r="60" spans="2:20" s="658" customFormat="1" ht="15.75" thickBot="1" x14ac:dyDescent="0.3">
      <c r="B60" s="702">
        <v>1.0999999999999999E-2</v>
      </c>
      <c r="C60" s="702">
        <v>1</v>
      </c>
      <c r="E60" s="658" t="s">
        <v>913</v>
      </c>
      <c r="F60" s="539">
        <v>690</v>
      </c>
      <c r="G60" s="725"/>
      <c r="H60" s="700">
        <f t="shared" si="8"/>
        <v>7.5</v>
      </c>
      <c r="I60" s="700">
        <f t="shared" si="9"/>
        <v>9.5</v>
      </c>
      <c r="J60"/>
      <c r="L60" s="729" t="s">
        <v>183</v>
      </c>
      <c r="M60" s="716" t="str">
        <f t="shared" si="5"/>
        <v>.011" - 1.000"</v>
      </c>
      <c r="N60" s="720">
        <f t="shared" si="6"/>
        <v>5180</v>
      </c>
      <c r="O60" s="178">
        <f t="shared" si="7"/>
        <v>6560</v>
      </c>
      <c r="Q60" s="1273"/>
      <c r="R60" s="1275"/>
      <c r="S60" s="350"/>
      <c r="T60" s="350"/>
    </row>
    <row r="61" spans="2:20" s="658" customFormat="1" x14ac:dyDescent="0.25">
      <c r="H61" s="708"/>
      <c r="I61" s="708"/>
      <c r="J61"/>
      <c r="N61" s="700"/>
      <c r="O61" s="700"/>
    </row>
    <row r="62" spans="2:20" s="658" customFormat="1" x14ac:dyDescent="0.25">
      <c r="H62" s="708"/>
      <c r="I62" s="708"/>
      <c r="J62"/>
      <c r="N62" s="700"/>
      <c r="O62" s="700"/>
    </row>
    <row r="63" spans="2:20" s="658" customFormat="1" x14ac:dyDescent="0.25">
      <c r="H63" s="708"/>
      <c r="I63" s="708"/>
      <c r="J63"/>
      <c r="N63" s="700"/>
      <c r="O63" s="700"/>
    </row>
    <row r="64" spans="2:20" s="658" customFormat="1" x14ac:dyDescent="0.25">
      <c r="H64" s="708"/>
      <c r="I64" s="708"/>
      <c r="J64"/>
      <c r="N64" s="700"/>
      <c r="O64" s="700"/>
    </row>
    <row r="65" spans="8:15" s="658" customFormat="1" x14ac:dyDescent="0.25">
      <c r="H65" s="708"/>
      <c r="I65" s="708"/>
      <c r="J65"/>
      <c r="N65" s="700"/>
      <c r="O65" s="700"/>
    </row>
    <row r="66" spans="8:15" s="658" customFormat="1" x14ac:dyDescent="0.25">
      <c r="H66" s="708"/>
      <c r="I66" s="708"/>
      <c r="J66"/>
      <c r="N66" s="700"/>
      <c r="O66" s="700"/>
    </row>
    <row r="67" spans="8:15" s="658" customFormat="1" x14ac:dyDescent="0.25">
      <c r="H67" s="708"/>
      <c r="I67" s="708"/>
      <c r="J67"/>
      <c r="N67" s="700"/>
      <c r="O67" s="700"/>
    </row>
    <row r="68" spans="8:15" s="658" customFormat="1" x14ac:dyDescent="0.25">
      <c r="H68" s="708"/>
      <c r="I68" s="708"/>
      <c r="J68"/>
      <c r="N68" s="700"/>
      <c r="O68" s="700"/>
    </row>
    <row r="69" spans="8:15" s="658" customFormat="1" x14ac:dyDescent="0.25">
      <c r="H69" s="708"/>
      <c r="I69" s="708"/>
      <c r="J69"/>
      <c r="N69" s="700"/>
      <c r="O69" s="700"/>
    </row>
    <row r="70" spans="8:15" s="658" customFormat="1" x14ac:dyDescent="0.25">
      <c r="H70" s="708"/>
      <c r="I70" s="708"/>
      <c r="J70"/>
      <c r="N70" s="700"/>
      <c r="O70" s="700"/>
    </row>
    <row r="71" spans="8:15" s="658" customFormat="1" x14ac:dyDescent="0.25">
      <c r="H71" s="708"/>
      <c r="I71" s="708"/>
      <c r="J71"/>
      <c r="N71" s="700"/>
      <c r="O71" s="700"/>
    </row>
    <row r="72" spans="8:15" s="658" customFormat="1" x14ac:dyDescent="0.25">
      <c r="H72" s="708"/>
      <c r="I72" s="708"/>
      <c r="J72"/>
      <c r="N72" s="700"/>
      <c r="O72" s="700"/>
    </row>
    <row r="73" spans="8:15" s="658" customFormat="1" x14ac:dyDescent="0.25">
      <c r="H73" s="708"/>
      <c r="I73" s="708"/>
      <c r="J73"/>
      <c r="N73" s="700"/>
      <c r="O73" s="700"/>
    </row>
    <row r="74" spans="8:15" s="658" customFormat="1" x14ac:dyDescent="0.25">
      <c r="H74" s="708"/>
      <c r="I74" s="708"/>
      <c r="J74"/>
      <c r="N74" s="700"/>
      <c r="O74" s="700"/>
    </row>
    <row r="75" spans="8:15" s="658" customFormat="1" x14ac:dyDescent="0.25">
      <c r="H75" s="708"/>
      <c r="I75" s="708"/>
      <c r="J75"/>
      <c r="N75" s="700"/>
      <c r="O75" s="700"/>
    </row>
    <row r="76" spans="8:15" s="658" customFormat="1" x14ac:dyDescent="0.25">
      <c r="H76" s="708"/>
      <c r="I76" s="708"/>
      <c r="J76"/>
      <c r="N76" s="700"/>
      <c r="O76" s="700"/>
    </row>
    <row r="77" spans="8:15" s="658" customFormat="1" x14ac:dyDescent="0.25">
      <c r="H77" s="708"/>
      <c r="I77" s="708"/>
      <c r="J77"/>
      <c r="N77" s="700"/>
      <c r="O77" s="700"/>
    </row>
    <row r="78" spans="8:15" s="658" customFormat="1" x14ac:dyDescent="0.25">
      <c r="H78" s="708"/>
      <c r="I78" s="708"/>
      <c r="J78"/>
      <c r="N78" s="700"/>
      <c r="O78" s="700"/>
    </row>
    <row r="79" spans="8:15" s="658" customFormat="1" x14ac:dyDescent="0.25">
      <c r="H79" s="708"/>
      <c r="I79" s="708"/>
      <c r="J79"/>
      <c r="N79" s="700"/>
      <c r="O79" s="700"/>
    </row>
    <row r="80" spans="8:15" s="658" customFormat="1" x14ac:dyDescent="0.25">
      <c r="H80" s="708"/>
      <c r="I80" s="708"/>
      <c r="J80"/>
      <c r="N80" s="700"/>
      <c r="O80" s="700"/>
    </row>
    <row r="81" spans="8:15" s="658" customFormat="1" x14ac:dyDescent="0.25">
      <c r="H81" s="708"/>
      <c r="I81" s="708"/>
      <c r="J81"/>
      <c r="N81" s="700"/>
      <c r="O81" s="700"/>
    </row>
    <row r="82" spans="8:15" s="658" customFormat="1" x14ac:dyDescent="0.25">
      <c r="H82" s="708"/>
      <c r="I82" s="708"/>
      <c r="J82"/>
      <c r="N82" s="700"/>
      <c r="O82" s="700"/>
    </row>
    <row r="83" spans="8:15" s="658" customFormat="1" x14ac:dyDescent="0.25">
      <c r="H83" s="708"/>
      <c r="I83" s="708"/>
      <c r="J83"/>
      <c r="N83" s="700"/>
      <c r="O83" s="700"/>
    </row>
    <row r="84" spans="8:15" s="658" customFormat="1" x14ac:dyDescent="0.25">
      <c r="H84" s="708"/>
      <c r="I84" s="708"/>
      <c r="J84"/>
      <c r="N84" s="700"/>
      <c r="O84" s="700"/>
    </row>
    <row r="85" spans="8:15" s="658" customFormat="1" x14ac:dyDescent="0.25">
      <c r="H85" s="708"/>
      <c r="I85" s="708"/>
      <c r="J85"/>
      <c r="N85" s="700"/>
      <c r="O85" s="700"/>
    </row>
    <row r="86" spans="8:15" s="658" customFormat="1" x14ac:dyDescent="0.25">
      <c r="H86" s="708"/>
      <c r="I86" s="708"/>
      <c r="J86"/>
      <c r="N86" s="700"/>
      <c r="O86" s="700"/>
    </row>
    <row r="87" spans="8:15" s="658" customFormat="1" x14ac:dyDescent="0.25">
      <c r="H87" s="708"/>
      <c r="I87" s="708"/>
      <c r="J87"/>
      <c r="N87" s="700"/>
      <c r="O87" s="700"/>
    </row>
    <row r="88" spans="8:15" s="658" customFormat="1" x14ac:dyDescent="0.25">
      <c r="H88" s="708"/>
      <c r="I88" s="708"/>
      <c r="J88"/>
      <c r="N88" s="700"/>
      <c r="O88" s="700"/>
    </row>
    <row r="89" spans="8:15" s="658" customFormat="1" x14ac:dyDescent="0.25">
      <c r="H89" s="708"/>
      <c r="I89" s="708"/>
      <c r="J89"/>
      <c r="N89" s="700"/>
      <c r="O89" s="700"/>
    </row>
    <row r="90" spans="8:15" s="658" customFormat="1" x14ac:dyDescent="0.25">
      <c r="H90" s="708"/>
      <c r="I90" s="708"/>
      <c r="J90"/>
      <c r="N90" s="700"/>
      <c r="O90" s="700"/>
    </row>
    <row r="91" spans="8:15" s="658" customFormat="1" x14ac:dyDescent="0.25">
      <c r="H91" s="708"/>
      <c r="I91" s="708"/>
      <c r="J91"/>
      <c r="N91" s="700"/>
      <c r="O91" s="700"/>
    </row>
    <row r="92" spans="8:15" s="658" customFormat="1" x14ac:dyDescent="0.25">
      <c r="H92" s="708"/>
      <c r="I92" s="708"/>
      <c r="J92"/>
      <c r="N92" s="700"/>
      <c r="O92" s="700"/>
    </row>
    <row r="93" spans="8:15" s="658" customFormat="1" x14ac:dyDescent="0.25">
      <c r="H93" s="708"/>
      <c r="I93" s="708"/>
      <c r="J93"/>
      <c r="N93" s="700"/>
      <c r="O93" s="700"/>
    </row>
    <row r="94" spans="8:15" s="658" customFormat="1" x14ac:dyDescent="0.25">
      <c r="H94" s="708"/>
      <c r="I94" s="708"/>
      <c r="J94"/>
      <c r="N94" s="700"/>
      <c r="O94" s="700"/>
    </row>
    <row r="95" spans="8:15" s="658" customFormat="1" x14ac:dyDescent="0.25">
      <c r="H95" s="708"/>
      <c r="I95" s="708"/>
      <c r="J95"/>
      <c r="N95" s="700"/>
      <c r="O95" s="700"/>
    </row>
    <row r="96" spans="8:15" s="658" customFormat="1" x14ac:dyDescent="0.25">
      <c r="H96" s="708"/>
      <c r="I96" s="708"/>
      <c r="J96"/>
      <c r="N96" s="700"/>
      <c r="O96" s="700"/>
    </row>
    <row r="97" spans="8:15" s="658" customFormat="1" x14ac:dyDescent="0.25">
      <c r="H97" s="708"/>
      <c r="I97" s="708"/>
      <c r="J97"/>
      <c r="N97" s="700"/>
      <c r="O97" s="700"/>
    </row>
    <row r="98" spans="8:15" s="658" customFormat="1" x14ac:dyDescent="0.25">
      <c r="H98" s="708"/>
      <c r="I98" s="708"/>
      <c r="J98"/>
      <c r="N98" s="700"/>
      <c r="O98" s="700"/>
    </row>
    <row r="99" spans="8:15" s="658" customFormat="1" x14ac:dyDescent="0.25">
      <c r="H99" s="708"/>
      <c r="I99" s="708"/>
      <c r="J99"/>
      <c r="N99" s="700"/>
      <c r="O99" s="700"/>
    </row>
    <row r="100" spans="8:15" s="658" customFormat="1" x14ac:dyDescent="0.25">
      <c r="H100" s="708"/>
      <c r="I100" s="708"/>
      <c r="J100"/>
      <c r="N100" s="700"/>
      <c r="O100" s="700"/>
    </row>
    <row r="101" spans="8:15" s="658" customFormat="1" x14ac:dyDescent="0.25">
      <c r="H101" s="708"/>
      <c r="I101" s="708"/>
      <c r="J101"/>
      <c r="N101" s="700"/>
      <c r="O101" s="700"/>
    </row>
    <row r="102" spans="8:15" s="658" customFormat="1" x14ac:dyDescent="0.25">
      <c r="H102" s="708"/>
      <c r="I102" s="708"/>
      <c r="J102"/>
      <c r="N102" s="700"/>
      <c r="O102" s="700"/>
    </row>
    <row r="103" spans="8:15" s="658" customFormat="1" x14ac:dyDescent="0.25">
      <c r="H103" s="708"/>
      <c r="I103" s="708"/>
      <c r="J103"/>
      <c r="N103" s="700"/>
      <c r="O103" s="700"/>
    </row>
    <row r="104" spans="8:15" s="658" customFormat="1" x14ac:dyDescent="0.25">
      <c r="H104" s="708"/>
      <c r="I104" s="708"/>
      <c r="J104"/>
      <c r="N104" s="700"/>
      <c r="O104" s="700"/>
    </row>
    <row r="105" spans="8:15" s="658" customFormat="1" x14ac:dyDescent="0.25">
      <c r="H105" s="708"/>
      <c r="I105" s="708"/>
      <c r="J105"/>
      <c r="N105" s="700"/>
      <c r="O105" s="700"/>
    </row>
    <row r="106" spans="8:15" s="658" customFormat="1" x14ac:dyDescent="0.25">
      <c r="H106" s="708"/>
      <c r="I106" s="708"/>
      <c r="J106"/>
      <c r="N106" s="700"/>
      <c r="O106" s="700"/>
    </row>
    <row r="107" spans="8:15" s="658" customFormat="1" x14ac:dyDescent="0.25">
      <c r="H107" s="708"/>
      <c r="I107" s="708"/>
      <c r="J107"/>
      <c r="N107" s="700"/>
      <c r="O107" s="700"/>
    </row>
    <row r="108" spans="8:15" s="658" customFormat="1" x14ac:dyDescent="0.25">
      <c r="H108" s="708"/>
      <c r="I108" s="708"/>
      <c r="J108"/>
      <c r="N108" s="700"/>
      <c r="O108" s="700"/>
    </row>
    <row r="109" spans="8:15" s="658" customFormat="1" x14ac:dyDescent="0.25">
      <c r="H109" s="708"/>
      <c r="I109" s="708"/>
      <c r="J109"/>
      <c r="N109" s="700"/>
      <c r="O109" s="700"/>
    </row>
    <row r="110" spans="8:15" s="658" customFormat="1" x14ac:dyDescent="0.25">
      <c r="H110" s="708"/>
      <c r="I110" s="708"/>
      <c r="J110"/>
      <c r="N110" s="700"/>
      <c r="O110" s="700"/>
    </row>
    <row r="111" spans="8:15" s="658" customFormat="1" x14ac:dyDescent="0.25">
      <c r="H111" s="708"/>
      <c r="I111" s="708"/>
      <c r="J111"/>
      <c r="N111" s="700"/>
      <c r="O111" s="700"/>
    </row>
    <row r="112" spans="8:15" s="658" customFormat="1" x14ac:dyDescent="0.25">
      <c r="H112" s="708"/>
      <c r="I112" s="708"/>
      <c r="J112"/>
      <c r="N112" s="700"/>
      <c r="O112" s="700"/>
    </row>
    <row r="113" spans="8:15" s="658" customFormat="1" x14ac:dyDescent="0.25">
      <c r="H113" s="708"/>
      <c r="I113" s="708"/>
      <c r="J113"/>
      <c r="N113" s="700"/>
      <c r="O113" s="700"/>
    </row>
    <row r="114" spans="8:15" s="658" customFormat="1" x14ac:dyDescent="0.25">
      <c r="H114" s="708"/>
      <c r="I114" s="708"/>
      <c r="J114"/>
      <c r="N114" s="700"/>
      <c r="O114" s="700"/>
    </row>
    <row r="115" spans="8:15" s="658" customFormat="1" x14ac:dyDescent="0.25">
      <c r="H115" s="708"/>
      <c r="I115" s="708"/>
      <c r="J115"/>
      <c r="N115" s="700"/>
      <c r="O115" s="700"/>
    </row>
    <row r="116" spans="8:15" s="658" customFormat="1" x14ac:dyDescent="0.25">
      <c r="H116" s="708"/>
      <c r="I116" s="708"/>
      <c r="J116"/>
      <c r="N116" s="700"/>
      <c r="O116" s="700"/>
    </row>
    <row r="117" spans="8:15" s="658" customFormat="1" x14ac:dyDescent="0.25">
      <c r="H117" s="708"/>
      <c r="I117" s="708"/>
      <c r="J117"/>
      <c r="N117" s="700"/>
      <c r="O117" s="700"/>
    </row>
    <row r="118" spans="8:15" s="658" customFormat="1" x14ac:dyDescent="0.25">
      <c r="H118" s="708"/>
      <c r="I118" s="708"/>
      <c r="J118"/>
      <c r="N118" s="700"/>
      <c r="O118" s="700"/>
    </row>
    <row r="119" spans="8:15" s="658" customFormat="1" x14ac:dyDescent="0.25">
      <c r="H119" s="708"/>
      <c r="I119" s="708"/>
      <c r="J119"/>
      <c r="N119" s="700"/>
      <c r="O119" s="700"/>
    </row>
    <row r="120" spans="8:15" s="658" customFormat="1" x14ac:dyDescent="0.25">
      <c r="H120" s="708"/>
      <c r="I120" s="708"/>
      <c r="J120"/>
      <c r="N120" s="700"/>
      <c r="O120" s="700"/>
    </row>
    <row r="121" spans="8:15" s="658" customFormat="1" x14ac:dyDescent="0.25">
      <c r="H121" s="708"/>
      <c r="I121" s="708"/>
      <c r="J121"/>
      <c r="N121" s="700"/>
      <c r="O121" s="700"/>
    </row>
    <row r="122" spans="8:15" s="658" customFormat="1" x14ac:dyDescent="0.25">
      <c r="H122" s="708"/>
      <c r="I122" s="708"/>
      <c r="J122"/>
      <c r="N122" s="700"/>
      <c r="O122" s="700"/>
    </row>
    <row r="123" spans="8:15" s="658" customFormat="1" x14ac:dyDescent="0.25">
      <c r="H123" s="708"/>
      <c r="I123" s="708"/>
      <c r="J123"/>
      <c r="N123" s="700"/>
      <c r="O123" s="700"/>
    </row>
    <row r="124" spans="8:15" s="658" customFormat="1" x14ac:dyDescent="0.25">
      <c r="H124" s="708"/>
      <c r="I124" s="708"/>
      <c r="J124"/>
      <c r="N124" s="700"/>
      <c r="O124" s="700"/>
    </row>
    <row r="125" spans="8:15" s="658" customFormat="1" x14ac:dyDescent="0.25">
      <c r="H125" s="708"/>
      <c r="I125" s="708"/>
      <c r="J125"/>
      <c r="N125" s="700"/>
      <c r="O125" s="700"/>
    </row>
    <row r="126" spans="8:15" s="658" customFormat="1" x14ac:dyDescent="0.25">
      <c r="H126" s="708"/>
      <c r="I126" s="708"/>
      <c r="J126"/>
      <c r="N126" s="700"/>
      <c r="O126" s="700"/>
    </row>
    <row r="127" spans="8:15" s="658" customFormat="1" x14ac:dyDescent="0.25">
      <c r="H127" s="708"/>
      <c r="I127" s="708"/>
      <c r="J127"/>
      <c r="N127" s="700"/>
      <c r="O127" s="700"/>
    </row>
    <row r="128" spans="8:15" s="658" customFormat="1" x14ac:dyDescent="0.25">
      <c r="H128" s="708"/>
      <c r="I128" s="708"/>
      <c r="J128"/>
      <c r="N128" s="700"/>
      <c r="O128" s="700"/>
    </row>
    <row r="129" spans="8:15" s="658" customFormat="1" x14ac:dyDescent="0.25">
      <c r="H129" s="708"/>
      <c r="I129" s="708"/>
      <c r="J129"/>
      <c r="N129" s="700"/>
      <c r="O129" s="700"/>
    </row>
    <row r="130" spans="8:15" s="658" customFormat="1" x14ac:dyDescent="0.25">
      <c r="H130" s="708"/>
      <c r="I130" s="708"/>
      <c r="J130"/>
      <c r="N130" s="700"/>
      <c r="O130" s="700"/>
    </row>
    <row r="131" spans="8:15" s="658" customFormat="1" x14ac:dyDescent="0.25">
      <c r="H131" s="708"/>
      <c r="I131" s="708"/>
      <c r="J131"/>
      <c r="N131" s="700"/>
      <c r="O131" s="700"/>
    </row>
    <row r="132" spans="8:15" s="658" customFormat="1" x14ac:dyDescent="0.25">
      <c r="H132" s="708"/>
      <c r="I132" s="708"/>
      <c r="J132"/>
      <c r="N132" s="700"/>
      <c r="O132" s="700"/>
    </row>
    <row r="133" spans="8:15" s="658" customFormat="1" x14ac:dyDescent="0.25">
      <c r="H133" s="708"/>
      <c r="I133" s="708"/>
      <c r="J133"/>
      <c r="N133" s="700"/>
      <c r="O133" s="700"/>
    </row>
    <row r="134" spans="8:15" s="658" customFormat="1" x14ac:dyDescent="0.25">
      <c r="H134" s="708"/>
      <c r="I134" s="708"/>
      <c r="J134"/>
      <c r="N134" s="700"/>
      <c r="O134" s="700"/>
    </row>
    <row r="135" spans="8:15" s="658" customFormat="1" x14ac:dyDescent="0.25">
      <c r="H135" s="708"/>
      <c r="I135" s="708"/>
      <c r="J135"/>
      <c r="N135" s="700"/>
      <c r="O135" s="700"/>
    </row>
    <row r="136" spans="8:15" s="658" customFormat="1" x14ac:dyDescent="0.25">
      <c r="J136"/>
      <c r="N136" s="700"/>
      <c r="O136" s="700"/>
    </row>
    <row r="137" spans="8:15" s="658" customFormat="1" x14ac:dyDescent="0.25">
      <c r="J137"/>
      <c r="N137" s="700"/>
      <c r="O137" s="700"/>
    </row>
    <row r="138" spans="8:15" s="658" customFormat="1" x14ac:dyDescent="0.25">
      <c r="J138"/>
      <c r="N138" s="700"/>
      <c r="O138" s="700"/>
    </row>
    <row r="139" spans="8:15" s="658" customFormat="1" x14ac:dyDescent="0.25">
      <c r="J139"/>
      <c r="N139" s="700"/>
      <c r="O139" s="700"/>
    </row>
    <row r="140" spans="8:15" s="658" customFormat="1" x14ac:dyDescent="0.25">
      <c r="J140"/>
      <c r="N140" s="700"/>
      <c r="O140" s="700"/>
    </row>
    <row r="141" spans="8:15" s="658" customFormat="1" x14ac:dyDescent="0.25">
      <c r="J141"/>
      <c r="N141" s="700"/>
      <c r="O141" s="700"/>
    </row>
    <row r="142" spans="8:15" s="658" customFormat="1" x14ac:dyDescent="0.25">
      <c r="J142"/>
      <c r="N142" s="700"/>
      <c r="O142" s="700"/>
    </row>
    <row r="143" spans="8:15" s="658" customFormat="1" x14ac:dyDescent="0.25">
      <c r="J143"/>
      <c r="N143" s="700"/>
      <c r="O143" s="700"/>
    </row>
    <row r="144" spans="8:15" s="658" customFormat="1" x14ac:dyDescent="0.25">
      <c r="J144"/>
      <c r="N144" s="700"/>
      <c r="O144" s="700"/>
    </row>
    <row r="145" spans="10:15" s="658" customFormat="1" x14ac:dyDescent="0.25">
      <c r="J145"/>
      <c r="N145" s="700"/>
      <c r="O145" s="700"/>
    </row>
    <row r="146" spans="10:15" s="658" customFormat="1" x14ac:dyDescent="0.25">
      <c r="J146"/>
      <c r="N146" s="700"/>
      <c r="O146" s="700"/>
    </row>
    <row r="147" spans="10:15" s="658" customFormat="1" x14ac:dyDescent="0.25">
      <c r="J147"/>
      <c r="N147" s="700"/>
      <c r="O147" s="700"/>
    </row>
    <row r="148" spans="10:15" s="658" customFormat="1" x14ac:dyDescent="0.25">
      <c r="J148"/>
      <c r="N148" s="700"/>
      <c r="O148" s="700"/>
    </row>
    <row r="149" spans="10:15" s="658" customFormat="1" x14ac:dyDescent="0.25">
      <c r="J149"/>
      <c r="N149" s="700"/>
      <c r="O149" s="700"/>
    </row>
    <row r="150" spans="10:15" s="658" customFormat="1" x14ac:dyDescent="0.25">
      <c r="J150"/>
      <c r="N150" s="700"/>
      <c r="O150" s="700"/>
    </row>
    <row r="151" spans="10:15" s="658" customFormat="1" x14ac:dyDescent="0.25">
      <c r="J151"/>
      <c r="N151" s="700"/>
      <c r="O151" s="700"/>
    </row>
    <row r="152" spans="10:15" s="658" customFormat="1" x14ac:dyDescent="0.25">
      <c r="J152"/>
      <c r="N152" s="700"/>
      <c r="O152" s="700"/>
    </row>
    <row r="153" spans="10:15" x14ac:dyDescent="0.25">
      <c r="N153" s="700"/>
      <c r="O153" s="700"/>
    </row>
    <row r="154" spans="10:15" x14ac:dyDescent="0.25">
      <c r="N154" s="700"/>
      <c r="O154" s="700"/>
    </row>
    <row r="155" spans="10:15" x14ac:dyDescent="0.25">
      <c r="N155" s="700"/>
      <c r="O155" s="700"/>
    </row>
    <row r="156" spans="10:15" x14ac:dyDescent="0.25">
      <c r="N156" s="700"/>
      <c r="O156" s="700"/>
    </row>
    <row r="157" spans="10:15" x14ac:dyDescent="0.25">
      <c r="N157" s="700"/>
      <c r="O157" s="700"/>
    </row>
    <row r="158" spans="10:15" x14ac:dyDescent="0.25">
      <c r="N158" s="700"/>
      <c r="O158" s="700"/>
    </row>
    <row r="159" spans="10:15" x14ac:dyDescent="0.25">
      <c r="N159" s="700"/>
      <c r="O159" s="700"/>
    </row>
    <row r="160" spans="10:15" x14ac:dyDescent="0.25">
      <c r="N160" s="700"/>
      <c r="O160" s="700"/>
    </row>
    <row r="161" spans="14:15" x14ac:dyDescent="0.25">
      <c r="N161" s="700"/>
      <c r="O161" s="700"/>
    </row>
    <row r="162" spans="14:15" x14ac:dyDescent="0.25">
      <c r="N162" s="700"/>
      <c r="O162" s="700"/>
    </row>
    <row r="163" spans="14:15" x14ac:dyDescent="0.25">
      <c r="N163" s="700"/>
      <c r="O163" s="700"/>
    </row>
    <row r="164" spans="14:15" x14ac:dyDescent="0.25">
      <c r="N164" s="700"/>
      <c r="O164" s="700"/>
    </row>
    <row r="165" spans="14:15" x14ac:dyDescent="0.25">
      <c r="N165" s="700"/>
      <c r="O165" s="700"/>
    </row>
    <row r="166" spans="14:15" x14ac:dyDescent="0.25">
      <c r="N166" s="700"/>
      <c r="O166" s="700"/>
    </row>
    <row r="167" spans="14:15" x14ac:dyDescent="0.25">
      <c r="N167" s="700"/>
      <c r="O167" s="700"/>
    </row>
    <row r="168" spans="14:15" x14ac:dyDescent="0.25">
      <c r="N168" s="700"/>
      <c r="O168" s="700"/>
    </row>
    <row r="169" spans="14:15" x14ac:dyDescent="0.25">
      <c r="N169" s="700"/>
      <c r="O169" s="700"/>
    </row>
    <row r="170" spans="14:15" x14ac:dyDescent="0.25">
      <c r="N170" s="700"/>
      <c r="O170" s="700"/>
    </row>
    <row r="171" spans="14:15" x14ac:dyDescent="0.25">
      <c r="N171" s="700"/>
      <c r="O171" s="700"/>
    </row>
    <row r="172" spans="14:15" x14ac:dyDescent="0.25">
      <c r="N172" s="700"/>
      <c r="O172" s="700"/>
    </row>
    <row r="173" spans="14:15" x14ac:dyDescent="0.25">
      <c r="N173" s="700"/>
      <c r="O173" s="700"/>
    </row>
    <row r="174" spans="14:15" x14ac:dyDescent="0.25">
      <c r="N174" s="700"/>
      <c r="O174" s="700"/>
    </row>
    <row r="175" spans="14:15" x14ac:dyDescent="0.25">
      <c r="N175" s="700"/>
      <c r="O175" s="700"/>
    </row>
    <row r="176" spans="14:15" x14ac:dyDescent="0.25">
      <c r="N176" s="700"/>
      <c r="O176" s="700"/>
    </row>
    <row r="177" spans="14:15" x14ac:dyDescent="0.25">
      <c r="N177" s="700"/>
      <c r="O177" s="700"/>
    </row>
    <row r="178" spans="14:15" x14ac:dyDescent="0.25">
      <c r="N178" s="700"/>
      <c r="O178" s="700"/>
    </row>
    <row r="179" spans="14:15" x14ac:dyDescent="0.25">
      <c r="N179" s="700"/>
      <c r="O179" s="700"/>
    </row>
  </sheetData>
  <sheetProtection algorithmName="SHA-512" hashValue="cNpSUpovPvYQmR/Y0h8si1FkR1tU426UHFcAjSsyfN7zPCE75SLudYiEzYlfhLZZxjyWtrSG9Dld19GS+vwxgA==" saltValue="62p6WrBMZDM2AP643oHcjQ==" spinCount="100000" sheet="1" objects="1" scenarios="1"/>
  <mergeCells count="48">
    <mergeCell ref="Q9:Q10"/>
    <mergeCell ref="R9:R10"/>
    <mergeCell ref="Q11:Q12"/>
    <mergeCell ref="R11:R12"/>
    <mergeCell ref="Q13:Q14"/>
    <mergeCell ref="R13:R14"/>
    <mergeCell ref="Q15:Q16"/>
    <mergeCell ref="R15:R16"/>
    <mergeCell ref="Q17:Q18"/>
    <mergeCell ref="R17:R18"/>
    <mergeCell ref="Q19:Q20"/>
    <mergeCell ref="R19:R20"/>
    <mergeCell ref="Q21:Q22"/>
    <mergeCell ref="R21:R22"/>
    <mergeCell ref="Q23:Q24"/>
    <mergeCell ref="R23:R24"/>
    <mergeCell ref="Q25:Q26"/>
    <mergeCell ref="R25:R26"/>
    <mergeCell ref="Q27:Q28"/>
    <mergeCell ref="R27:R28"/>
    <mergeCell ref="Q29:Q30"/>
    <mergeCell ref="R29:R30"/>
    <mergeCell ref="Q31:Q32"/>
    <mergeCell ref="R31:R32"/>
    <mergeCell ref="Q33:Q34"/>
    <mergeCell ref="R33:R34"/>
    <mergeCell ref="Q35:Q36"/>
    <mergeCell ref="R35:R36"/>
    <mergeCell ref="Q37:Q38"/>
    <mergeCell ref="R37:R38"/>
    <mergeCell ref="Q39:Q40"/>
    <mergeCell ref="R39:R40"/>
    <mergeCell ref="Q41:Q42"/>
    <mergeCell ref="R41:R42"/>
    <mergeCell ref="Q43:Q44"/>
    <mergeCell ref="R43:R44"/>
    <mergeCell ref="Q49:Q50"/>
    <mergeCell ref="R49:R50"/>
    <mergeCell ref="Q51:Q52"/>
    <mergeCell ref="R51:R52"/>
    <mergeCell ref="Q53:Q54"/>
    <mergeCell ref="R53:R54"/>
    <mergeCell ref="Q55:Q56"/>
    <mergeCell ref="R55:R56"/>
    <mergeCell ref="Q57:Q58"/>
    <mergeCell ref="R57:R58"/>
    <mergeCell ref="Q59:Q60"/>
    <mergeCell ref="R59:R60"/>
  </mergeCells>
  <pageMargins left="0.25" right="0.25" top="0.5" bottom="0.75" header="0.3" footer="0.3"/>
  <pageSetup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8D63F-866C-4819-971F-D6F1EA8D74B7}">
  <sheetPr codeName="Sheet17">
    <outlinePr summaryBelow="0"/>
    <pageSetUpPr autoPageBreaks="0" fitToPage="1"/>
  </sheetPr>
  <dimension ref="A1:AK72"/>
  <sheetViews>
    <sheetView showGridLines="0" zoomScale="90" zoomScaleNormal="90" workbookViewId="0">
      <selection activeCell="Q68" sqref="Q68"/>
    </sheetView>
  </sheetViews>
  <sheetFormatPr defaultColWidth="9.140625" defaultRowHeight="15" outlineLevelRow="1" outlineLevelCol="1" x14ac:dyDescent="0.25"/>
  <cols>
    <col min="1" max="1" width="2.7109375" customWidth="1"/>
    <col min="2" max="2" width="12.7109375" style="51" hidden="1" customWidth="1" outlineLevel="1"/>
    <col min="3" max="3" width="11.28515625" style="51" hidden="1" customWidth="1" outlineLevel="1"/>
    <col min="4" max="4" width="2.7109375" style="52" hidden="1" customWidth="1" outlineLevel="1"/>
    <col min="5" max="6" width="11.28515625" style="51" hidden="1" customWidth="1" outlineLevel="1"/>
    <col min="7" max="7" width="2.7109375" style="52" hidden="1" customWidth="1" outlineLevel="1"/>
    <col min="8" max="8" width="11.28515625" style="52" hidden="1" customWidth="1" outlineLevel="1"/>
    <col min="9" max="9" width="11.7109375" style="65" hidden="1" customWidth="1" outlineLevel="1"/>
    <col min="10" max="10" width="2.7109375" style="52" hidden="1" customWidth="1" outlineLevel="1"/>
    <col min="11" max="11" width="10.7109375" style="52" hidden="1" customWidth="1" outlineLevel="1"/>
    <col min="12" max="12" width="10.85546875" style="52" hidden="1" customWidth="1" outlineLevel="1"/>
    <col min="13" max="14" width="9.42578125" style="52" hidden="1" customWidth="1" outlineLevel="1"/>
    <col min="15" max="15" width="10.5703125" hidden="1" customWidth="1" outlineLevel="1"/>
    <col min="16" max="16" width="2.7109375" hidden="1" customWidth="1" outlineLevel="1"/>
    <col min="17" max="17" width="22.85546875" style="51" customWidth="1" collapsed="1"/>
    <col min="18" max="18" width="23.7109375" style="51" customWidth="1"/>
    <col min="19" max="19" width="19.5703125" style="51" customWidth="1"/>
    <col min="20" max="20" width="13.7109375" style="51" customWidth="1"/>
    <col min="21" max="24" width="15" style="11" hidden="1" customWidth="1" outlineLevel="1"/>
    <col min="25" max="25" width="2.7109375" style="11" hidden="1" customWidth="1" outlineLevel="1"/>
    <col min="26" max="26" width="19.28515625" style="11" hidden="1" customWidth="1" outlineLevel="1"/>
    <col min="27" max="28" width="15.7109375" style="11" hidden="1" customWidth="1" outlineLevel="1"/>
    <col min="29" max="29" width="14.5703125" style="11" hidden="1" customWidth="1" outlineLevel="1"/>
    <col min="30" max="30" width="2.7109375" style="11" hidden="1" customWidth="1" outlineLevel="1"/>
    <col min="31" max="32" width="15" style="65" hidden="1" customWidth="1" outlineLevel="1"/>
    <col min="33" max="33" width="15" style="51" hidden="1" customWidth="1" outlineLevel="1"/>
    <col min="34" max="34" width="9.5703125" hidden="1" customWidth="1" outlineLevel="1"/>
    <col min="35" max="36" width="9.140625" style="51" hidden="1" customWidth="1" outlineLevel="1"/>
    <col min="37" max="37" width="14.28515625" style="51" customWidth="1" collapsed="1"/>
    <col min="38" max="45" width="14.28515625" style="51" customWidth="1"/>
    <col min="46" max="16384" width="9.140625" style="51"/>
  </cols>
  <sheetData>
    <row r="1" spans="1:32" ht="9.9499999999999993" customHeight="1" x14ac:dyDescent="0.25">
      <c r="AE1" s="406"/>
    </row>
    <row r="2" spans="1:32" ht="21" collapsed="1" x14ac:dyDescent="0.35">
      <c r="F2" s="573"/>
      <c r="Q2" s="1" t="s">
        <v>569</v>
      </c>
      <c r="R2"/>
      <c r="S2"/>
    </row>
    <row r="3" spans="1:32" ht="15.75" hidden="1" outlineLevel="1" x14ac:dyDescent="0.25">
      <c r="B3" s="574" t="s">
        <v>859</v>
      </c>
      <c r="C3" s="574" t="s">
        <v>860</v>
      </c>
      <c r="H3" s="574" t="s">
        <v>859</v>
      </c>
      <c r="I3" s="574" t="s">
        <v>860</v>
      </c>
      <c r="Q3" s="444" t="s">
        <v>618</v>
      </c>
      <c r="R3"/>
      <c r="S3"/>
    </row>
    <row r="4" spans="1:32" hidden="1" outlineLevel="1" x14ac:dyDescent="0.25">
      <c r="B4" s="575">
        <v>115</v>
      </c>
      <c r="C4" s="2" t="s">
        <v>764</v>
      </c>
      <c r="H4" s="2">
        <v>145</v>
      </c>
      <c r="I4" s="2" t="s">
        <v>767</v>
      </c>
      <c r="Q4"/>
      <c r="R4"/>
      <c r="S4"/>
    </row>
    <row r="5" spans="1:32" hidden="1" outlineLevel="1" x14ac:dyDescent="0.25">
      <c r="B5" s="575">
        <v>170</v>
      </c>
      <c r="C5" s="2" t="s">
        <v>776</v>
      </c>
      <c r="H5" s="575">
        <v>175</v>
      </c>
      <c r="I5" s="2" t="s">
        <v>777</v>
      </c>
      <c r="Q5"/>
      <c r="R5"/>
      <c r="S5"/>
    </row>
    <row r="6" spans="1:32" hidden="1" outlineLevel="1" x14ac:dyDescent="0.25">
      <c r="B6" s="2">
        <v>330</v>
      </c>
      <c r="C6" s="2" t="s">
        <v>825</v>
      </c>
      <c r="H6" s="2">
        <v>400</v>
      </c>
      <c r="I6" s="2" t="s">
        <v>828</v>
      </c>
      <c r="Q6"/>
      <c r="R6"/>
      <c r="S6"/>
    </row>
    <row r="7" spans="1:32" hidden="1" outlineLevel="1" x14ac:dyDescent="0.25">
      <c r="Q7"/>
      <c r="R7"/>
      <c r="S7"/>
    </row>
    <row r="8" spans="1:32" x14ac:dyDescent="0.25">
      <c r="Q8"/>
      <c r="R8"/>
      <c r="S8"/>
    </row>
    <row r="9" spans="1:32" s="83" customFormat="1" x14ac:dyDescent="0.25">
      <c r="A9"/>
      <c r="D9" s="398"/>
      <c r="F9" s="462">
        <v>25.4</v>
      </c>
      <c r="G9" s="398"/>
      <c r="H9" s="397" t="s">
        <v>635</v>
      </c>
      <c r="I9" s="400" t="s">
        <v>921</v>
      </c>
      <c r="N9" s="398"/>
      <c r="O9" s="72"/>
      <c r="P9" s="72"/>
      <c r="Q9" s="83" t="str">
        <f>_xlfn.CONCAT($H$9,"  ",I9)</f>
        <v>•  Class Z, X, or XX</v>
      </c>
      <c r="R9" s="72"/>
      <c r="S9" s="72"/>
      <c r="U9" s="399"/>
      <c r="V9" s="399"/>
      <c r="W9" s="399"/>
      <c r="X9" s="399"/>
      <c r="Y9" s="399"/>
      <c r="Z9" s="399"/>
      <c r="AA9" s="399"/>
      <c r="AB9" s="399"/>
      <c r="AC9" s="399"/>
      <c r="AD9" s="399"/>
      <c r="AE9" s="399"/>
      <c r="AF9" s="399"/>
    </row>
    <row r="10" spans="1:32" s="83" customFormat="1" x14ac:dyDescent="0.25">
      <c r="A10"/>
      <c r="D10" s="398"/>
      <c r="G10" s="398"/>
      <c r="H10" s="399"/>
      <c r="I10" s="400" t="s">
        <v>631</v>
      </c>
      <c r="N10" s="398"/>
      <c r="O10" s="72"/>
      <c r="P10" s="72"/>
      <c r="Q10" s="83" t="str">
        <f>_xlfn.CONCAT($H$9,"  ",I10)</f>
        <v>•  Go (Plus) or NoGo (Minus)</v>
      </c>
      <c r="R10" s="72"/>
      <c r="S10" s="72"/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</row>
    <row r="11" spans="1:32" s="83" customFormat="1" x14ac:dyDescent="0.25">
      <c r="A11"/>
      <c r="D11" s="398"/>
      <c r="G11" s="398"/>
      <c r="H11" s="399"/>
      <c r="I11" s="400" t="s">
        <v>959</v>
      </c>
      <c r="N11" s="398"/>
      <c r="O11" s="72"/>
      <c r="P11" s="72"/>
      <c r="Q11" s="83" t="str">
        <f>_xlfn.CONCAT($H$9,"  ",I11)</f>
        <v>•  Master (Bilateral) available for Class X and XX only</v>
      </c>
      <c r="R11" s="72"/>
      <c r="S11" s="72"/>
      <c r="U11" s="399"/>
      <c r="V11" s="399"/>
      <c r="W11" s="399"/>
      <c r="X11" s="399"/>
      <c r="Y11" s="399"/>
      <c r="Z11" s="399"/>
      <c r="AA11" s="399"/>
      <c r="AB11" s="399"/>
      <c r="AC11" s="399"/>
      <c r="AD11" s="399"/>
      <c r="AE11" s="399"/>
      <c r="AF11" s="399"/>
    </row>
    <row r="12" spans="1:32" s="83" customFormat="1" x14ac:dyDescent="0.25">
      <c r="A12"/>
      <c r="B12" s="540" t="s">
        <v>740</v>
      </c>
      <c r="D12" s="398"/>
      <c r="G12" s="398"/>
      <c r="H12" s="399"/>
      <c r="I12" s="400" t="s">
        <v>675</v>
      </c>
      <c r="N12" s="398"/>
      <c r="O12" s="72"/>
      <c r="P12" s="72"/>
      <c r="Q12" s="83" t="str">
        <f>_xlfn.CONCAT($H$9,"  ",I12)</f>
        <v>•  2" standard length</v>
      </c>
      <c r="R12" s="72"/>
      <c r="S12" s="72"/>
      <c r="U12" s="399"/>
      <c r="V12" s="399"/>
      <c r="W12" s="399"/>
      <c r="X12" s="399"/>
      <c r="Y12" s="399"/>
      <c r="Z12" s="399"/>
      <c r="AA12" s="399"/>
      <c r="AB12" s="399"/>
      <c r="AC12" s="399"/>
      <c r="AD12" s="399"/>
      <c r="AE12" s="399"/>
      <c r="AF12" s="399"/>
    </row>
    <row r="13" spans="1:32" ht="15.75" thickBot="1" x14ac:dyDescent="0.3">
      <c r="Q13"/>
      <c r="R13"/>
      <c r="S13"/>
    </row>
    <row r="14" spans="1:32" ht="15.75" thickBot="1" x14ac:dyDescent="0.3">
      <c r="B14" s="53" t="s">
        <v>567</v>
      </c>
      <c r="C14" s="54">
        <v>5.0000000000000001E-4</v>
      </c>
      <c r="D14" s="55"/>
      <c r="E14" s="53" t="s">
        <v>567</v>
      </c>
      <c r="F14" s="56">
        <v>0.01</v>
      </c>
      <c r="I14" s="294" t="s">
        <v>196</v>
      </c>
      <c r="J14"/>
      <c r="K14" s="422">
        <v>1E-4</v>
      </c>
      <c r="L14" s="422">
        <v>2.5000000000000001E-3</v>
      </c>
      <c r="Q14" s="595" t="str">
        <f>_xlfn.CONCAT("Class ",$I14,"  (",TEXT($K14,".0000#"),""""," or ",TEXT($L14,".000#"),"mm)")</f>
        <v>Class Z  (.0001" or .0025mm)</v>
      </c>
      <c r="R14" s="595"/>
      <c r="S14" s="683"/>
      <c r="U14" s="2"/>
      <c r="AE14" s="3" t="s">
        <v>685</v>
      </c>
    </row>
    <row r="15" spans="1:32" ht="17.25" x14ac:dyDescent="0.4">
      <c r="B15" s="57" t="s">
        <v>624</v>
      </c>
      <c r="C15" s="58"/>
      <c r="E15" s="57" t="s">
        <v>625</v>
      </c>
      <c r="F15" s="59"/>
      <c r="G15" s="60"/>
      <c r="H15" s="60"/>
      <c r="J15"/>
      <c r="K15" s="376"/>
      <c r="L15" s="376"/>
      <c r="M15" s="60"/>
      <c r="N15" s="60"/>
      <c r="Q15" s="136" t="s">
        <v>3</v>
      </c>
      <c r="R15" s="137"/>
      <c r="S15" s="1280" t="s">
        <v>568</v>
      </c>
    </row>
    <row r="16" spans="1:32" ht="15.75" x14ac:dyDescent="0.25">
      <c r="B16" s="61" t="s">
        <v>6</v>
      </c>
      <c r="C16" s="62"/>
      <c r="E16" s="61" t="s">
        <v>7</v>
      </c>
      <c r="F16" s="62"/>
      <c r="G16" s="60"/>
      <c r="H16" s="742" t="s">
        <v>920</v>
      </c>
      <c r="I16" s="743" t="s">
        <v>680</v>
      </c>
      <c r="J16"/>
      <c r="K16" s="231" t="s">
        <v>622</v>
      </c>
      <c r="L16" s="264" t="s">
        <v>623</v>
      </c>
      <c r="M16" s="738" t="s">
        <v>626</v>
      </c>
      <c r="N16" s="424"/>
      <c r="O16" s="365">
        <v>0.4</v>
      </c>
      <c r="P16" s="374"/>
      <c r="Q16" s="138" t="s">
        <v>4</v>
      </c>
      <c r="R16" s="139" t="s">
        <v>5</v>
      </c>
      <c r="S16" s="1281"/>
      <c r="U16" s="15" t="s">
        <v>699</v>
      </c>
      <c r="V16" s="15" t="s">
        <v>871</v>
      </c>
      <c r="W16" s="15" t="s">
        <v>626</v>
      </c>
      <c r="X16" s="15" t="s">
        <v>700</v>
      </c>
      <c r="Z16" s="576" t="s">
        <v>874</v>
      </c>
      <c r="AA16" s="477" t="s">
        <v>871</v>
      </c>
      <c r="AB16" s="609" t="s">
        <v>699</v>
      </c>
      <c r="AC16" s="610" t="s">
        <v>626</v>
      </c>
      <c r="AD16" s="22"/>
      <c r="AE16" s="465" t="s">
        <v>681</v>
      </c>
    </row>
    <row r="17" spans="1:32" x14ac:dyDescent="0.25">
      <c r="B17" s="457">
        <v>5.0000000000000001E-3</v>
      </c>
      <c r="C17" s="457">
        <v>1.0500000000000001E-2</v>
      </c>
      <c r="D17" s="64"/>
      <c r="E17" s="460">
        <v>0.22</v>
      </c>
      <c r="F17" s="456">
        <f>C17*$F$9</f>
        <v>0.26669999999999999</v>
      </c>
      <c r="G17" s="60"/>
      <c r="H17" s="11">
        <v>1</v>
      </c>
      <c r="I17" s="461">
        <v>1</v>
      </c>
      <c r="J17"/>
      <c r="K17" s="378">
        <v>0</v>
      </c>
      <c r="L17" s="346">
        <v>14</v>
      </c>
      <c r="M17" s="367">
        <f t="shared" ref="M17:M26" si="0">IF(L17=0,0,L17-K17)</f>
        <v>14</v>
      </c>
      <c r="N17" s="371">
        <f>IFERROR(M17/K17,0)</f>
        <v>0</v>
      </c>
      <c r="O17" s="736">
        <f t="shared" ref="O17:O26" si="1">(1-$O$16)*L17</f>
        <v>8.4</v>
      </c>
      <c r="P17" s="350"/>
      <c r="Q17" s="140" t="str">
        <f>_xlfn.CONCAT(TEXT($B17,"#.000#"),"""","  to  ",TEXT($C17,"#.000#"),"""")</f>
        <v>.005"  to  .0105"</v>
      </c>
      <c r="R17" s="141" t="str">
        <f>_xlfn.CONCAT(TEXT($E17,"0.00"),"  to  ",TEXT($F17,"0.00"),"mm")</f>
        <v>0.22  to  0.27mm</v>
      </c>
      <c r="S17" s="106">
        <f>$L17</f>
        <v>14</v>
      </c>
      <c r="U17" s="296">
        <v>18.75</v>
      </c>
      <c r="V17" s="579">
        <f t="shared" ref="V17:V26" si="2">O17</f>
        <v>8.4</v>
      </c>
      <c r="W17" s="579">
        <f>U17-V17</f>
        <v>10.35</v>
      </c>
      <c r="X17" s="619">
        <f t="shared" ref="X17:X26" si="3">((U17/V17)-1)</f>
        <v>1.2321428571428572</v>
      </c>
      <c r="Z17" s="330" t="str">
        <f>_xlfn.CONCAT(TEXT($B17,"#.000#"),"""","  to  ",TEXT($C17,"#.000#"),"""")</f>
        <v>.005"  to  .0105"</v>
      </c>
      <c r="AA17" s="580">
        <f>$O17</f>
        <v>8.4</v>
      </c>
      <c r="AB17" s="611">
        <f>U17</f>
        <v>18.75</v>
      </c>
      <c r="AC17" s="580">
        <f>AB17-AA17</f>
        <v>10.35</v>
      </c>
      <c r="AD17" s="579"/>
      <c r="AE17" s="463" t="s">
        <v>682</v>
      </c>
    </row>
    <row r="18" spans="1:32" x14ac:dyDescent="0.25">
      <c r="B18" s="66">
        <f>C17+$C$14</f>
        <v>1.1000000000000001E-2</v>
      </c>
      <c r="C18" s="457">
        <v>3.0499999999999999E-2</v>
      </c>
      <c r="D18" s="64"/>
      <c r="E18" s="67">
        <f>F17+$F$14</f>
        <v>0.2767</v>
      </c>
      <c r="F18" s="456">
        <f>C18*$F$9</f>
        <v>0.77469999999999994</v>
      </c>
      <c r="G18" s="60"/>
      <c r="H18" s="11">
        <v>2</v>
      </c>
      <c r="I18" s="461">
        <v>1</v>
      </c>
      <c r="J18"/>
      <c r="K18" s="378">
        <v>0</v>
      </c>
      <c r="L18" s="346">
        <v>9</v>
      </c>
      <c r="M18" s="367">
        <f t="shared" ref="M18" si="4">IF(L18=0,0,L18-K18)</f>
        <v>9</v>
      </c>
      <c r="N18" s="371">
        <f t="shared" ref="N18" si="5">IFERROR(M18/K18,0)</f>
        <v>0</v>
      </c>
      <c r="O18" s="736">
        <f t="shared" ref="O18" si="6">(1-$O$16)*L18</f>
        <v>5.3999999999999995</v>
      </c>
      <c r="P18" s="350"/>
      <c r="Q18" s="143" t="str">
        <f t="shared" ref="Q18:Q26" si="7">_xlfn.CONCAT(TEXT($B18,"#.000#"),"""","  to  ",TEXT($C18,"#.000#"),"""")</f>
        <v>.011"  to  .0305"</v>
      </c>
      <c r="R18" s="144" t="str">
        <f t="shared" ref="R18:R26" si="8">_xlfn.CONCAT(TEXT($E18,"0.00"),"  to  ",TEXT($F18,"0.00"),"mm")</f>
        <v>0.28  to  0.77mm</v>
      </c>
      <c r="S18" s="466">
        <f t="shared" ref="S18:S26" si="9">$L18</f>
        <v>9</v>
      </c>
      <c r="U18" s="296"/>
      <c r="V18" s="579"/>
      <c r="W18" s="579"/>
      <c r="X18" s="619"/>
      <c r="Z18" s="330"/>
      <c r="AA18" s="580"/>
      <c r="AB18" s="611"/>
      <c r="AC18" s="580"/>
      <c r="AD18" s="579"/>
      <c r="AE18" s="463" t="s">
        <v>683</v>
      </c>
    </row>
    <row r="19" spans="1:32" x14ac:dyDescent="0.25">
      <c r="B19" s="66">
        <f t="shared" ref="B19:B26" si="10">C18+$C$14</f>
        <v>3.1E-2</v>
      </c>
      <c r="C19" s="457">
        <v>7.5499999999999998E-2</v>
      </c>
      <c r="D19" s="64"/>
      <c r="E19" s="67">
        <f t="shared" ref="E19:E26" si="11">F18+$F$14</f>
        <v>0.78469999999999995</v>
      </c>
      <c r="F19" s="458">
        <v>1.91</v>
      </c>
      <c r="G19" s="60"/>
      <c r="H19" s="11">
        <v>3</v>
      </c>
      <c r="I19" s="461">
        <v>1</v>
      </c>
      <c r="J19"/>
      <c r="K19" s="378">
        <v>0</v>
      </c>
      <c r="L19" s="346">
        <v>8.5</v>
      </c>
      <c r="M19" s="367">
        <f t="shared" si="0"/>
        <v>8.5</v>
      </c>
      <c r="N19" s="371">
        <f t="shared" ref="N19:N26" si="12">IFERROR(M19/K19,0)</f>
        <v>0</v>
      </c>
      <c r="O19" s="736">
        <f t="shared" si="1"/>
        <v>5.0999999999999996</v>
      </c>
      <c r="P19" s="350"/>
      <c r="Q19" s="140" t="str">
        <f t="shared" si="7"/>
        <v>.031"  to  .0755"</v>
      </c>
      <c r="R19" s="141" t="str">
        <f t="shared" si="8"/>
        <v>0.78  to  1.91mm</v>
      </c>
      <c r="S19" s="106">
        <f t="shared" si="9"/>
        <v>8.5</v>
      </c>
      <c r="U19" s="296">
        <v>15.75</v>
      </c>
      <c r="V19" s="579">
        <f t="shared" si="2"/>
        <v>5.0999999999999996</v>
      </c>
      <c r="W19" s="579">
        <f t="shared" ref="W19:W26" si="13">U19-V19</f>
        <v>10.65</v>
      </c>
      <c r="X19" s="619">
        <f t="shared" si="3"/>
        <v>2.0882352941176472</v>
      </c>
      <c r="Z19" s="614" t="str">
        <f t="shared" ref="Z19:Z26" si="14">_xlfn.CONCAT(TEXT($B19,"#.000#"),"""","  to  ",TEXT($C19,"#.000#"),"""")</f>
        <v>.031"  to  .0755"</v>
      </c>
      <c r="AA19" s="608">
        <f t="shared" ref="AA19:AA26" si="15">$O19</f>
        <v>5.0999999999999996</v>
      </c>
      <c r="AB19" s="607">
        <f t="shared" ref="AB19:AB26" si="16">U19</f>
        <v>15.75</v>
      </c>
      <c r="AC19" s="608">
        <f t="shared" ref="AC19:AC26" si="17">AB19-AA19</f>
        <v>10.65</v>
      </c>
      <c r="AD19" s="579"/>
      <c r="AE19" s="464" t="s">
        <v>684</v>
      </c>
    </row>
    <row r="20" spans="1:32" x14ac:dyDescent="0.25">
      <c r="B20" s="66">
        <f t="shared" si="10"/>
        <v>7.5999999999999998E-2</v>
      </c>
      <c r="C20" s="457">
        <v>0.18049999999999999</v>
      </c>
      <c r="D20" s="64"/>
      <c r="E20" s="67">
        <f t="shared" si="11"/>
        <v>1.92</v>
      </c>
      <c r="F20" s="458">
        <v>4.57</v>
      </c>
      <c r="G20" s="60"/>
      <c r="H20" s="11">
        <v>4</v>
      </c>
      <c r="I20" s="461">
        <v>2</v>
      </c>
      <c r="J20"/>
      <c r="K20" s="378">
        <v>0</v>
      </c>
      <c r="L20" s="346">
        <v>7</v>
      </c>
      <c r="M20" s="367">
        <f t="shared" si="0"/>
        <v>7</v>
      </c>
      <c r="N20" s="371">
        <f t="shared" si="12"/>
        <v>0</v>
      </c>
      <c r="O20" s="736">
        <f t="shared" si="1"/>
        <v>4.2</v>
      </c>
      <c r="P20" s="350"/>
      <c r="Q20" s="143" t="str">
        <f t="shared" si="7"/>
        <v>.076"  to  .1805"</v>
      </c>
      <c r="R20" s="144" t="str">
        <f t="shared" si="8"/>
        <v>1.92  to  4.57mm</v>
      </c>
      <c r="S20" s="466">
        <f t="shared" si="9"/>
        <v>7</v>
      </c>
      <c r="U20" s="296">
        <v>12.25</v>
      </c>
      <c r="V20" s="579">
        <f t="shared" si="2"/>
        <v>4.2</v>
      </c>
      <c r="W20" s="579">
        <f t="shared" si="13"/>
        <v>8.0500000000000007</v>
      </c>
      <c r="X20" s="620">
        <f t="shared" si="3"/>
        <v>1.9166666666666665</v>
      </c>
      <c r="Z20" s="330" t="str">
        <f t="shared" si="14"/>
        <v>.076"  to  .1805"</v>
      </c>
      <c r="AA20" s="580">
        <f t="shared" si="15"/>
        <v>4.2</v>
      </c>
      <c r="AB20" s="611">
        <f t="shared" si="16"/>
        <v>12.25</v>
      </c>
      <c r="AC20" s="580">
        <f t="shared" si="17"/>
        <v>8.0500000000000007</v>
      </c>
      <c r="AD20" s="579"/>
    </row>
    <row r="21" spans="1:32" x14ac:dyDescent="0.25">
      <c r="B21" s="66">
        <f t="shared" si="10"/>
        <v>0.18099999999999999</v>
      </c>
      <c r="C21" s="457">
        <v>0.28149999999999997</v>
      </c>
      <c r="D21" s="64"/>
      <c r="E21" s="67">
        <f t="shared" si="11"/>
        <v>4.58</v>
      </c>
      <c r="F21" s="458">
        <v>7.14</v>
      </c>
      <c r="G21" s="60"/>
      <c r="H21" s="11">
        <v>5</v>
      </c>
      <c r="I21" s="461">
        <v>3</v>
      </c>
      <c r="J21"/>
      <c r="K21" s="378">
        <v>0</v>
      </c>
      <c r="L21" s="346">
        <v>7.5</v>
      </c>
      <c r="M21" s="367">
        <f t="shared" si="0"/>
        <v>7.5</v>
      </c>
      <c r="N21" s="371">
        <f t="shared" si="12"/>
        <v>0</v>
      </c>
      <c r="O21" s="736">
        <f t="shared" si="1"/>
        <v>4.5</v>
      </c>
      <c r="P21" s="350"/>
      <c r="Q21" s="140" t="str">
        <f t="shared" si="7"/>
        <v>.181"  to  .2815"</v>
      </c>
      <c r="R21" s="141" t="str">
        <f t="shared" si="8"/>
        <v>4.58  to  7.14mm</v>
      </c>
      <c r="S21" s="106">
        <f t="shared" si="9"/>
        <v>7.5</v>
      </c>
      <c r="U21" s="296">
        <v>12.25</v>
      </c>
      <c r="V21" s="579">
        <f t="shared" si="2"/>
        <v>4.5</v>
      </c>
      <c r="W21" s="579">
        <f t="shared" si="13"/>
        <v>7.75</v>
      </c>
      <c r="X21" s="620">
        <f t="shared" si="3"/>
        <v>1.7222222222222223</v>
      </c>
      <c r="Z21" s="614" t="str">
        <f t="shared" si="14"/>
        <v>.181"  to  .2815"</v>
      </c>
      <c r="AA21" s="608">
        <f t="shared" si="15"/>
        <v>4.5</v>
      </c>
      <c r="AB21" s="607">
        <f t="shared" si="16"/>
        <v>12.25</v>
      </c>
      <c r="AC21" s="608">
        <f t="shared" si="17"/>
        <v>7.75</v>
      </c>
      <c r="AD21" s="579"/>
      <c r="AE21" s="11"/>
    </row>
    <row r="22" spans="1:32" x14ac:dyDescent="0.25">
      <c r="B22" s="66">
        <f t="shared" si="10"/>
        <v>0.28199999999999997</v>
      </c>
      <c r="C22" s="457">
        <v>0.40649999999999997</v>
      </c>
      <c r="D22" s="64"/>
      <c r="E22" s="67">
        <f t="shared" si="11"/>
        <v>7.1499999999999995</v>
      </c>
      <c r="F22" s="458">
        <v>10.31</v>
      </c>
      <c r="G22" s="60"/>
      <c r="H22" s="11">
        <v>6</v>
      </c>
      <c r="I22" s="461">
        <v>4</v>
      </c>
      <c r="J22"/>
      <c r="K22" s="378">
        <v>0</v>
      </c>
      <c r="L22" s="346">
        <v>8</v>
      </c>
      <c r="M22" s="367">
        <f t="shared" si="0"/>
        <v>8</v>
      </c>
      <c r="N22" s="371">
        <f t="shared" si="12"/>
        <v>0</v>
      </c>
      <c r="O22" s="736">
        <f t="shared" si="1"/>
        <v>4.8</v>
      </c>
      <c r="P22" s="350"/>
      <c r="Q22" s="143" t="str">
        <f t="shared" si="7"/>
        <v>.282"  to  .4065"</v>
      </c>
      <c r="R22" s="144" t="str">
        <f t="shared" si="8"/>
        <v>7.15  to  10.31mm</v>
      </c>
      <c r="S22" s="466">
        <f t="shared" si="9"/>
        <v>8</v>
      </c>
      <c r="U22" s="296">
        <v>12.5</v>
      </c>
      <c r="V22" s="579">
        <f t="shared" si="2"/>
        <v>4.8</v>
      </c>
      <c r="W22" s="579">
        <f t="shared" si="13"/>
        <v>7.7</v>
      </c>
      <c r="X22" s="620">
        <f t="shared" si="3"/>
        <v>1.604166666666667</v>
      </c>
      <c r="Z22" s="330" t="str">
        <f t="shared" si="14"/>
        <v>.282"  to  .4065"</v>
      </c>
      <c r="AA22" s="580">
        <f t="shared" si="15"/>
        <v>4.8</v>
      </c>
      <c r="AB22" s="611">
        <f t="shared" si="16"/>
        <v>12.5</v>
      </c>
      <c r="AC22" s="580">
        <f t="shared" si="17"/>
        <v>7.7</v>
      </c>
      <c r="AD22" s="579"/>
      <c r="AE22" s="11"/>
    </row>
    <row r="23" spans="1:32" x14ac:dyDescent="0.25">
      <c r="B23" s="66">
        <f t="shared" si="10"/>
        <v>0.40699999999999997</v>
      </c>
      <c r="C23" s="457">
        <v>0.51049999999999995</v>
      </c>
      <c r="D23" s="64"/>
      <c r="E23" s="67">
        <f t="shared" si="11"/>
        <v>10.32</v>
      </c>
      <c r="F23" s="458">
        <v>12.95</v>
      </c>
      <c r="G23" s="60"/>
      <c r="H23" s="11">
        <v>7</v>
      </c>
      <c r="I23" s="461">
        <v>5</v>
      </c>
      <c r="J23"/>
      <c r="K23" s="378">
        <v>0</v>
      </c>
      <c r="L23" s="346">
        <v>9.5</v>
      </c>
      <c r="M23" s="367">
        <f t="shared" si="0"/>
        <v>9.5</v>
      </c>
      <c r="N23" s="371">
        <f t="shared" si="12"/>
        <v>0</v>
      </c>
      <c r="O23" s="736">
        <f t="shared" si="1"/>
        <v>5.7</v>
      </c>
      <c r="P23" s="350"/>
      <c r="Q23" s="140" t="str">
        <f t="shared" si="7"/>
        <v>.407"  to  .5105"</v>
      </c>
      <c r="R23" s="141" t="str">
        <f t="shared" si="8"/>
        <v>10.32  to  12.95mm</v>
      </c>
      <c r="S23" s="106">
        <f t="shared" si="9"/>
        <v>9.5</v>
      </c>
      <c r="U23" s="296">
        <v>13.25</v>
      </c>
      <c r="V23" s="579">
        <f t="shared" si="2"/>
        <v>5.7</v>
      </c>
      <c r="W23" s="579">
        <f t="shared" si="13"/>
        <v>7.55</v>
      </c>
      <c r="X23" s="619">
        <f t="shared" si="3"/>
        <v>1.3245614035087718</v>
      </c>
      <c r="Z23" s="614" t="str">
        <f t="shared" si="14"/>
        <v>.407"  to  .5105"</v>
      </c>
      <c r="AA23" s="608">
        <f t="shared" si="15"/>
        <v>5.7</v>
      </c>
      <c r="AB23" s="607">
        <f t="shared" si="16"/>
        <v>13.25</v>
      </c>
      <c r="AC23" s="608">
        <f t="shared" si="17"/>
        <v>7.55</v>
      </c>
      <c r="AD23" s="579"/>
      <c r="AE23" s="11"/>
    </row>
    <row r="24" spans="1:32" x14ac:dyDescent="0.25">
      <c r="B24" s="66">
        <f t="shared" si="10"/>
        <v>0.5109999999999999</v>
      </c>
      <c r="C24" s="457">
        <v>0.63549999999999995</v>
      </c>
      <c r="D24" s="64"/>
      <c r="E24" s="67">
        <f t="shared" si="11"/>
        <v>12.959999999999999</v>
      </c>
      <c r="F24" s="458">
        <v>16.13</v>
      </c>
      <c r="G24" s="60"/>
      <c r="H24" s="11">
        <v>8</v>
      </c>
      <c r="I24" s="461">
        <v>6</v>
      </c>
      <c r="J24"/>
      <c r="K24" s="378">
        <v>0</v>
      </c>
      <c r="L24" s="346">
        <v>10.5</v>
      </c>
      <c r="M24" s="367">
        <f t="shared" si="0"/>
        <v>10.5</v>
      </c>
      <c r="N24" s="371">
        <f t="shared" si="12"/>
        <v>0</v>
      </c>
      <c r="O24" s="736">
        <f t="shared" si="1"/>
        <v>6.3</v>
      </c>
      <c r="P24" s="350"/>
      <c r="Q24" s="143" t="str">
        <f t="shared" si="7"/>
        <v>.511"  to  .6355"</v>
      </c>
      <c r="R24" s="144" t="str">
        <f t="shared" si="8"/>
        <v>12.96  to  16.13mm</v>
      </c>
      <c r="S24" s="466">
        <f t="shared" si="9"/>
        <v>10.5</v>
      </c>
      <c r="U24" s="296">
        <v>14.25</v>
      </c>
      <c r="V24" s="579">
        <f t="shared" si="2"/>
        <v>6.3</v>
      </c>
      <c r="W24" s="579">
        <f t="shared" si="13"/>
        <v>7.95</v>
      </c>
      <c r="X24" s="619">
        <f t="shared" si="3"/>
        <v>1.2619047619047619</v>
      </c>
      <c r="Z24" s="330" t="str">
        <f t="shared" si="14"/>
        <v>.511"  to  .6355"</v>
      </c>
      <c r="AA24" s="580">
        <f t="shared" si="15"/>
        <v>6.3</v>
      </c>
      <c r="AB24" s="611">
        <f t="shared" si="16"/>
        <v>14.25</v>
      </c>
      <c r="AC24" s="580">
        <f t="shared" si="17"/>
        <v>7.95</v>
      </c>
      <c r="AD24" s="579"/>
      <c r="AE24" s="11"/>
    </row>
    <row r="25" spans="1:32" x14ac:dyDescent="0.25">
      <c r="B25" s="66">
        <f t="shared" si="10"/>
        <v>0.6359999999999999</v>
      </c>
      <c r="C25" s="457">
        <v>0.76049999999999995</v>
      </c>
      <c r="D25" s="64"/>
      <c r="E25" s="67">
        <f t="shared" si="11"/>
        <v>16.14</v>
      </c>
      <c r="F25" s="458">
        <v>19.3</v>
      </c>
      <c r="G25" s="60"/>
      <c r="H25" s="11">
        <v>9</v>
      </c>
      <c r="I25" s="461">
        <v>7</v>
      </c>
      <c r="J25"/>
      <c r="K25" s="378">
        <v>0</v>
      </c>
      <c r="L25" s="346">
        <v>14</v>
      </c>
      <c r="M25" s="367">
        <f t="shared" si="0"/>
        <v>14</v>
      </c>
      <c r="N25" s="371">
        <f t="shared" si="12"/>
        <v>0</v>
      </c>
      <c r="O25" s="736">
        <f t="shared" si="1"/>
        <v>8.4</v>
      </c>
      <c r="P25" s="350"/>
      <c r="Q25" s="140" t="str">
        <f t="shared" si="7"/>
        <v>.636"  to  .7605"</v>
      </c>
      <c r="R25" s="141" t="str">
        <f t="shared" si="8"/>
        <v>16.14  to  19.30mm</v>
      </c>
      <c r="S25" s="106">
        <f t="shared" si="9"/>
        <v>14</v>
      </c>
      <c r="U25" s="296">
        <v>18</v>
      </c>
      <c r="V25" s="579">
        <f t="shared" si="2"/>
        <v>8.4</v>
      </c>
      <c r="W25" s="579">
        <f t="shared" si="13"/>
        <v>9.6</v>
      </c>
      <c r="X25" s="619">
        <f t="shared" si="3"/>
        <v>1.1428571428571428</v>
      </c>
      <c r="Z25" s="614" t="str">
        <f t="shared" si="14"/>
        <v>.636"  to  .7605"</v>
      </c>
      <c r="AA25" s="608">
        <f t="shared" si="15"/>
        <v>8.4</v>
      </c>
      <c r="AB25" s="607">
        <f t="shared" si="16"/>
        <v>18</v>
      </c>
      <c r="AC25" s="608">
        <f t="shared" si="17"/>
        <v>9.6</v>
      </c>
      <c r="AD25" s="579"/>
      <c r="AE25" s="11"/>
    </row>
    <row r="26" spans="1:32" ht="15.75" thickBot="1" x14ac:dyDescent="0.3">
      <c r="B26" s="66">
        <f t="shared" si="10"/>
        <v>0.7609999999999999</v>
      </c>
      <c r="C26" s="457">
        <v>1.0149999999999999</v>
      </c>
      <c r="D26" s="64"/>
      <c r="E26" s="67">
        <f t="shared" si="11"/>
        <v>19.310000000000002</v>
      </c>
      <c r="F26" s="458">
        <v>25.65</v>
      </c>
      <c r="G26" s="60"/>
      <c r="H26" s="11">
        <v>10</v>
      </c>
      <c r="I26" s="461">
        <v>8</v>
      </c>
      <c r="J26" s="60"/>
      <c r="K26" s="378">
        <v>0</v>
      </c>
      <c r="L26" s="346">
        <v>18</v>
      </c>
      <c r="M26" s="367">
        <f t="shared" si="0"/>
        <v>18</v>
      </c>
      <c r="N26" s="371">
        <f t="shared" si="12"/>
        <v>0</v>
      </c>
      <c r="O26" s="736">
        <f t="shared" si="1"/>
        <v>10.799999999999999</v>
      </c>
      <c r="P26" s="350"/>
      <c r="Q26" s="739" t="str">
        <f t="shared" si="7"/>
        <v>.761"  to  1.015"</v>
      </c>
      <c r="R26" s="740" t="str">
        <f t="shared" si="8"/>
        <v>19.31  to  25.65mm</v>
      </c>
      <c r="S26" s="741">
        <f t="shared" si="9"/>
        <v>18</v>
      </c>
      <c r="U26" s="296">
        <v>19.75</v>
      </c>
      <c r="V26" s="579">
        <f t="shared" si="2"/>
        <v>10.799999999999999</v>
      </c>
      <c r="W26" s="579">
        <f t="shared" si="13"/>
        <v>8.9500000000000011</v>
      </c>
      <c r="X26" s="619">
        <f t="shared" si="3"/>
        <v>0.82870370370370394</v>
      </c>
      <c r="Z26" s="577" t="str">
        <f t="shared" si="14"/>
        <v>.761"  to  1.015"</v>
      </c>
      <c r="AA26" s="612">
        <f t="shared" si="15"/>
        <v>10.799999999999999</v>
      </c>
      <c r="AB26" s="613">
        <f t="shared" si="16"/>
        <v>19.75</v>
      </c>
      <c r="AC26" s="612">
        <f t="shared" si="17"/>
        <v>8.9500000000000011</v>
      </c>
      <c r="AD26" s="579"/>
      <c r="AE26" s="11"/>
    </row>
    <row r="27" spans="1:32" ht="4.1500000000000004" customHeight="1" x14ac:dyDescent="0.25">
      <c r="B27" s="65"/>
      <c r="C27" s="65"/>
      <c r="D27" s="64"/>
      <c r="E27" s="65"/>
      <c r="F27" s="65"/>
      <c r="H27" s="64"/>
      <c r="S27" s="80"/>
      <c r="AE27" s="11"/>
    </row>
    <row r="28" spans="1:32" s="427" customFormat="1" x14ac:dyDescent="0.25">
      <c r="A28"/>
      <c r="B28" s="426"/>
      <c r="C28" s="426"/>
      <c r="D28" s="64"/>
      <c r="E28" s="426"/>
      <c r="F28" s="426"/>
      <c r="G28" s="425"/>
      <c r="H28" s="425"/>
      <c r="I28" s="426"/>
      <c r="J28" s="425"/>
      <c r="K28" s="425"/>
      <c r="L28" s="425"/>
      <c r="M28" s="425"/>
      <c r="N28" s="425"/>
      <c r="O28"/>
      <c r="P28"/>
      <c r="Q28" t="s">
        <v>672</v>
      </c>
      <c r="S28" s="80"/>
      <c r="U28" s="426"/>
      <c r="V28" s="426"/>
      <c r="W28" s="426"/>
      <c r="X28" s="426"/>
      <c r="Y28" s="426"/>
      <c r="Z28" s="11"/>
      <c r="AA28" s="426"/>
      <c r="AB28" s="426"/>
      <c r="AC28" s="426"/>
      <c r="AD28" s="426"/>
      <c r="AE28" s="11"/>
      <c r="AF28" s="426"/>
    </row>
    <row r="29" spans="1:32" s="427" customFormat="1" x14ac:dyDescent="0.25">
      <c r="A29"/>
      <c r="D29" s="425"/>
      <c r="G29" s="425"/>
      <c r="H29" s="425"/>
      <c r="I29" s="426"/>
      <c r="J29" s="425"/>
      <c r="K29" s="428"/>
      <c r="L29" s="425"/>
      <c r="M29" s="425"/>
      <c r="N29" s="425"/>
      <c r="O29"/>
      <c r="P29"/>
      <c r="Q29" s="34"/>
      <c r="S29" s="80"/>
      <c r="U29" s="426"/>
      <c r="V29" s="426"/>
      <c r="W29" s="426"/>
      <c r="X29" s="426"/>
      <c r="Y29" s="426"/>
      <c r="Z29" s="11"/>
      <c r="AA29" s="426"/>
      <c r="AB29" s="426"/>
      <c r="AC29" s="426"/>
      <c r="AD29" s="426"/>
      <c r="AE29" s="11"/>
      <c r="AF29" s="426"/>
    </row>
    <row r="30" spans="1:32" customFormat="1" ht="15.75" thickBot="1" x14ac:dyDescent="0.3">
      <c r="I30" s="65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ht="15.75" thickBot="1" x14ac:dyDescent="0.3">
      <c r="B31" s="53" t="s">
        <v>567</v>
      </c>
      <c r="C31" s="54">
        <v>1E-4</v>
      </c>
      <c r="D31" s="55"/>
      <c r="E31" s="53" t="s">
        <v>567</v>
      </c>
      <c r="F31" s="68">
        <v>1E-3</v>
      </c>
      <c r="I31" s="294" t="s">
        <v>197</v>
      </c>
      <c r="K31" s="422">
        <v>4.0000000000000003E-5</v>
      </c>
      <c r="L31" s="422">
        <v>1E-3</v>
      </c>
      <c r="Q31" s="595" t="str">
        <f>_xlfn.CONCAT("Class ",$I31,"  (",TEXT($K31,".0000#"),""""," or ",TEXT($L31,".000#"),"mm)")</f>
        <v>Class X  (.00004" or .001mm)</v>
      </c>
      <c r="R31" s="595"/>
      <c r="S31" s="595"/>
      <c r="AE31" s="467" t="s">
        <v>686</v>
      </c>
    </row>
    <row r="32" spans="1:32" ht="17.25" x14ac:dyDescent="0.4">
      <c r="B32" s="57" t="s">
        <v>624</v>
      </c>
      <c r="C32" s="58"/>
      <c r="E32" s="57" t="s">
        <v>636</v>
      </c>
      <c r="F32" s="59"/>
      <c r="G32" s="60"/>
      <c r="H32" s="60"/>
      <c r="J32" s="60"/>
      <c r="K32" s="60"/>
      <c r="L32" s="60"/>
      <c r="M32" s="60"/>
      <c r="N32" s="60"/>
      <c r="Q32" s="136" t="s">
        <v>3</v>
      </c>
      <c r="R32" s="137"/>
      <c r="S32" s="1280" t="s">
        <v>568</v>
      </c>
    </row>
    <row r="33" spans="2:31" x14ac:dyDescent="0.25">
      <c r="B33" s="61" t="s">
        <v>6</v>
      </c>
      <c r="C33" s="62"/>
      <c r="E33" s="61" t="s">
        <v>7</v>
      </c>
      <c r="F33" s="62"/>
      <c r="G33" s="60"/>
      <c r="H33" s="742" t="s">
        <v>920</v>
      </c>
      <c r="I33" s="743" t="s">
        <v>680</v>
      </c>
      <c r="J33" s="60"/>
      <c r="K33" s="231" t="s">
        <v>622</v>
      </c>
      <c r="L33" s="264" t="s">
        <v>623</v>
      </c>
      <c r="M33" s="423" t="s">
        <v>626</v>
      </c>
      <c r="N33" s="424"/>
      <c r="O33" s="365">
        <v>0.2</v>
      </c>
      <c r="P33" s="374"/>
      <c r="Q33" s="138" t="s">
        <v>4</v>
      </c>
      <c r="R33" s="139" t="s">
        <v>5</v>
      </c>
      <c r="S33" s="1281"/>
      <c r="U33" s="15" t="s">
        <v>699</v>
      </c>
      <c r="V33" s="15" t="s">
        <v>864</v>
      </c>
      <c r="W33" s="15"/>
      <c r="X33" s="15" t="s">
        <v>701</v>
      </c>
    </row>
    <row r="34" spans="2:31" x14ac:dyDescent="0.25">
      <c r="B34" s="63">
        <v>5.0000000000000001E-3</v>
      </c>
      <c r="C34" s="744">
        <v>1.09E-2</v>
      </c>
      <c r="D34" s="64"/>
      <c r="E34" s="69">
        <v>0.22</v>
      </c>
      <c r="F34" s="70">
        <f t="shared" ref="F34:F42" si="18">ROUND(C34*$F$9,3)</f>
        <v>0.27700000000000002</v>
      </c>
      <c r="G34" s="60"/>
      <c r="H34" s="11">
        <v>1</v>
      </c>
      <c r="I34" s="461">
        <v>1</v>
      </c>
      <c r="J34" s="60"/>
      <c r="K34" s="378">
        <v>0</v>
      </c>
      <c r="L34" s="346">
        <v>42</v>
      </c>
      <c r="M34" s="367">
        <f t="shared" ref="M34:M35" si="19">IF(L34=0,0,L34-K34)</f>
        <v>42</v>
      </c>
      <c r="N34" s="371">
        <f t="shared" ref="N34:N35" si="20">IFERROR(M34/K34,0)</f>
        <v>0</v>
      </c>
      <c r="O34" s="350">
        <f>(1-$O$33)*L34</f>
        <v>33.6</v>
      </c>
      <c r="P34" s="350"/>
      <c r="Q34" s="140" t="str">
        <f>_xlfn.CONCAT(TEXT($B34,"#.000#"),"""","  to  ",TEXT($C34,"#.000#"),"""")</f>
        <v>.005"  to  .0109"</v>
      </c>
      <c r="R34" s="141" t="str">
        <f t="shared" ref="R34:R43" si="21">_xlfn.CONCAT(TEXT($E34,"0.000"),"  to  ",TEXT($F34,"0.000"),"mm")</f>
        <v>0.220  to  0.277mm</v>
      </c>
      <c r="S34" s="106">
        <f>$L34</f>
        <v>42</v>
      </c>
      <c r="U34" s="296">
        <v>18.75</v>
      </c>
      <c r="V34" s="579">
        <f t="shared" ref="V34:V43" si="22">O34</f>
        <v>33.6</v>
      </c>
      <c r="W34" s="579"/>
      <c r="X34" s="621">
        <f t="shared" ref="X34:X43" si="23">(V34/U34)-1</f>
        <v>0.79200000000000004</v>
      </c>
      <c r="AE34" s="485"/>
    </row>
    <row r="35" spans="2:31" x14ac:dyDescent="0.25">
      <c r="B35" s="66">
        <f>C34+$C$31</f>
        <v>1.0999999999999999E-2</v>
      </c>
      <c r="C35" s="744">
        <v>3.09E-2</v>
      </c>
      <c r="D35" s="64"/>
      <c r="E35" s="70">
        <f>F34+$F$31</f>
        <v>0.27800000000000002</v>
      </c>
      <c r="F35" s="70">
        <f t="shared" si="18"/>
        <v>0.78500000000000003</v>
      </c>
      <c r="G35" s="60"/>
      <c r="H35" s="11">
        <v>2</v>
      </c>
      <c r="I35" s="461">
        <v>1</v>
      </c>
      <c r="J35" s="60"/>
      <c r="K35" s="378">
        <v>0</v>
      </c>
      <c r="L35" s="346">
        <v>41</v>
      </c>
      <c r="M35" s="367">
        <f t="shared" si="19"/>
        <v>41</v>
      </c>
      <c r="N35" s="371">
        <f t="shared" si="20"/>
        <v>0</v>
      </c>
      <c r="O35" s="350">
        <f t="shared" ref="O35:O43" si="24">(1-$O$33)*L35</f>
        <v>32.800000000000004</v>
      </c>
      <c r="P35" s="350"/>
      <c r="Q35" s="143" t="str">
        <f t="shared" ref="Q35:Q43" si="25">_xlfn.CONCAT(TEXT($B35,"#.000#"),"""","  to  ",TEXT($C35,"#.000#"),"""")</f>
        <v>.011"  to  .0309"</v>
      </c>
      <c r="R35" s="144" t="str">
        <f t="shared" si="21"/>
        <v>0.278  to  0.785mm</v>
      </c>
      <c r="S35" s="466">
        <f t="shared" ref="S35:S43" si="26">$L35</f>
        <v>41</v>
      </c>
      <c r="U35" s="296"/>
      <c r="V35" s="579"/>
      <c r="W35" s="579"/>
      <c r="X35" s="621"/>
      <c r="AE35" s="485"/>
    </row>
    <row r="36" spans="2:31" x14ac:dyDescent="0.25">
      <c r="B36" s="66">
        <f t="shared" ref="B36:B43" si="27">C35+$C$31</f>
        <v>3.1E-2</v>
      </c>
      <c r="C36" s="744">
        <v>7.5899999999999995E-2</v>
      </c>
      <c r="D36" s="64"/>
      <c r="E36" s="70">
        <f t="shared" ref="E36:E43" si="28">F35+$F$31</f>
        <v>0.78600000000000003</v>
      </c>
      <c r="F36" s="70">
        <f t="shared" si="18"/>
        <v>1.9279999999999999</v>
      </c>
      <c r="G36" s="60"/>
      <c r="H36" s="11">
        <v>3</v>
      </c>
      <c r="I36" s="461">
        <v>1</v>
      </c>
      <c r="J36" s="60"/>
      <c r="K36" s="378">
        <v>0</v>
      </c>
      <c r="L36" s="346">
        <v>33.5</v>
      </c>
      <c r="M36" s="367">
        <f>IF(L36=0,0,L36-K36)</f>
        <v>33.5</v>
      </c>
      <c r="N36" s="371">
        <f t="shared" ref="N36:N43" si="29">IFERROR(M36/K36,0)</f>
        <v>0</v>
      </c>
      <c r="O36" s="350">
        <f t="shared" si="24"/>
        <v>26.8</v>
      </c>
      <c r="P36" s="350"/>
      <c r="Q36" s="140" t="str">
        <f t="shared" si="25"/>
        <v>.031"  to  .0759"</v>
      </c>
      <c r="R36" s="141" t="str">
        <f t="shared" si="21"/>
        <v>0.786  to  1.928mm</v>
      </c>
      <c r="S36" s="106">
        <f t="shared" si="26"/>
        <v>33.5</v>
      </c>
      <c r="U36" s="296">
        <v>15.75</v>
      </c>
      <c r="V36" s="579">
        <f t="shared" si="22"/>
        <v>26.8</v>
      </c>
      <c r="W36" s="579"/>
      <c r="X36" s="621">
        <f t="shared" si="23"/>
        <v>0.70158730158730154</v>
      </c>
      <c r="AE36" s="485"/>
    </row>
    <row r="37" spans="2:31" x14ac:dyDescent="0.25">
      <c r="B37" s="66">
        <f>C36+$C$31</f>
        <v>7.5999999999999998E-2</v>
      </c>
      <c r="C37" s="744">
        <v>0.18090000000000001</v>
      </c>
      <c r="D37" s="64"/>
      <c r="E37" s="70">
        <f t="shared" si="28"/>
        <v>1.9289999999999998</v>
      </c>
      <c r="F37" s="70">
        <f t="shared" si="18"/>
        <v>4.5949999999999998</v>
      </c>
      <c r="G37" s="60"/>
      <c r="H37" s="11">
        <v>4</v>
      </c>
      <c r="I37" s="461">
        <v>2</v>
      </c>
      <c r="J37" s="60"/>
      <c r="K37" s="378">
        <v>26</v>
      </c>
      <c r="L37" s="346">
        <v>30</v>
      </c>
      <c r="M37" s="367">
        <f t="shared" ref="M37:M43" si="30">IF(L37=0,0,L37-K37)</f>
        <v>4</v>
      </c>
      <c r="N37" s="371">
        <f t="shared" si="29"/>
        <v>0.15384615384615385</v>
      </c>
      <c r="O37" s="350">
        <f t="shared" si="24"/>
        <v>24</v>
      </c>
      <c r="P37" s="350"/>
      <c r="Q37" s="143" t="str">
        <f t="shared" si="25"/>
        <v>.076"  to  .1809"</v>
      </c>
      <c r="R37" s="144" t="str">
        <f t="shared" si="21"/>
        <v>1.929  to  4.595mm</v>
      </c>
      <c r="S37" s="466">
        <f t="shared" si="26"/>
        <v>30</v>
      </c>
      <c r="U37" s="296">
        <v>12.25</v>
      </c>
      <c r="V37" s="579">
        <f t="shared" si="22"/>
        <v>24</v>
      </c>
      <c r="W37" s="579"/>
      <c r="X37" s="621">
        <f t="shared" si="23"/>
        <v>0.95918367346938771</v>
      </c>
      <c r="AE37" s="485"/>
    </row>
    <row r="38" spans="2:31" x14ac:dyDescent="0.25">
      <c r="B38" s="66">
        <f t="shared" si="27"/>
        <v>0.18099999999999999</v>
      </c>
      <c r="C38" s="744">
        <v>0.28189999999999998</v>
      </c>
      <c r="D38" s="64"/>
      <c r="E38" s="70">
        <f t="shared" si="28"/>
        <v>4.5960000000000001</v>
      </c>
      <c r="F38" s="70">
        <f t="shared" si="18"/>
        <v>7.16</v>
      </c>
      <c r="G38" s="60"/>
      <c r="H38" s="11">
        <v>5</v>
      </c>
      <c r="I38" s="461">
        <v>3</v>
      </c>
      <c r="J38" s="60"/>
      <c r="K38" s="378">
        <v>20.25</v>
      </c>
      <c r="L38" s="346">
        <v>31</v>
      </c>
      <c r="M38" s="367">
        <f t="shared" si="30"/>
        <v>10.75</v>
      </c>
      <c r="N38" s="371">
        <f t="shared" si="29"/>
        <v>0.53086419753086422</v>
      </c>
      <c r="O38" s="350">
        <f t="shared" si="24"/>
        <v>24.8</v>
      </c>
      <c r="P38" s="350"/>
      <c r="Q38" s="140" t="str">
        <f t="shared" si="25"/>
        <v>.181"  to  .2819"</v>
      </c>
      <c r="R38" s="141" t="str">
        <f t="shared" si="21"/>
        <v>4.596  to  7.160mm</v>
      </c>
      <c r="S38" s="106">
        <f t="shared" si="26"/>
        <v>31</v>
      </c>
      <c r="U38" s="296">
        <v>12.25</v>
      </c>
      <c r="V38" s="579">
        <f t="shared" si="22"/>
        <v>24.8</v>
      </c>
      <c r="W38" s="579"/>
      <c r="X38" s="621">
        <f t="shared" si="23"/>
        <v>1.0244897959183672</v>
      </c>
      <c r="AE38" s="485"/>
    </row>
    <row r="39" spans="2:31" x14ac:dyDescent="0.25">
      <c r="B39" s="66">
        <f t="shared" si="27"/>
        <v>0.28199999999999997</v>
      </c>
      <c r="C39" s="744">
        <v>0.40689999999999998</v>
      </c>
      <c r="D39" s="64"/>
      <c r="E39" s="70">
        <f t="shared" si="28"/>
        <v>7.1610000000000005</v>
      </c>
      <c r="F39" s="70">
        <f t="shared" si="18"/>
        <v>10.335000000000001</v>
      </c>
      <c r="G39" s="60"/>
      <c r="H39" s="11">
        <v>6</v>
      </c>
      <c r="I39" s="461">
        <v>4</v>
      </c>
      <c r="J39" s="60"/>
      <c r="K39" s="378">
        <v>20.5</v>
      </c>
      <c r="L39" s="346">
        <v>32.5</v>
      </c>
      <c r="M39" s="367">
        <f t="shared" si="30"/>
        <v>12</v>
      </c>
      <c r="N39" s="371">
        <f t="shared" si="29"/>
        <v>0.58536585365853655</v>
      </c>
      <c r="O39" s="350">
        <f t="shared" si="24"/>
        <v>26</v>
      </c>
      <c r="P39" s="350"/>
      <c r="Q39" s="143" t="str">
        <f t="shared" si="25"/>
        <v>.282"  to  .4069"</v>
      </c>
      <c r="R39" s="144" t="str">
        <f t="shared" si="21"/>
        <v>7.161  to  10.335mm</v>
      </c>
      <c r="S39" s="466">
        <f t="shared" si="26"/>
        <v>32.5</v>
      </c>
      <c r="U39" s="296">
        <v>12.5</v>
      </c>
      <c r="V39" s="579">
        <f t="shared" si="22"/>
        <v>26</v>
      </c>
      <c r="W39" s="579"/>
      <c r="X39" s="621">
        <f t="shared" si="23"/>
        <v>1.08</v>
      </c>
      <c r="AE39" s="485"/>
    </row>
    <row r="40" spans="2:31" x14ac:dyDescent="0.25">
      <c r="B40" s="66">
        <f t="shared" si="27"/>
        <v>0.40699999999999997</v>
      </c>
      <c r="C40" s="744">
        <v>0.51090000000000002</v>
      </c>
      <c r="D40" s="64"/>
      <c r="E40" s="70">
        <f t="shared" si="28"/>
        <v>10.336</v>
      </c>
      <c r="F40" s="70">
        <f t="shared" si="18"/>
        <v>12.977</v>
      </c>
      <c r="G40" s="60"/>
      <c r="H40" s="11">
        <v>7</v>
      </c>
      <c r="I40" s="461">
        <v>5</v>
      </c>
      <c r="J40" s="60"/>
      <c r="K40" s="378">
        <v>21.5</v>
      </c>
      <c r="L40" s="346">
        <v>34</v>
      </c>
      <c r="M40" s="367">
        <f t="shared" si="30"/>
        <v>12.5</v>
      </c>
      <c r="N40" s="371">
        <f t="shared" si="29"/>
        <v>0.58139534883720934</v>
      </c>
      <c r="O40" s="350">
        <f t="shared" si="24"/>
        <v>27.200000000000003</v>
      </c>
      <c r="P40" s="350"/>
      <c r="Q40" s="140" t="str">
        <f t="shared" si="25"/>
        <v>.407"  to  .5109"</v>
      </c>
      <c r="R40" s="141" t="str">
        <f t="shared" si="21"/>
        <v>10.336  to  12.977mm</v>
      </c>
      <c r="S40" s="106">
        <f t="shared" si="26"/>
        <v>34</v>
      </c>
      <c r="U40" s="296">
        <v>13.25</v>
      </c>
      <c r="V40" s="579">
        <f t="shared" si="22"/>
        <v>27.200000000000003</v>
      </c>
      <c r="W40" s="579"/>
      <c r="X40" s="621">
        <f t="shared" si="23"/>
        <v>1.0528301886792457</v>
      </c>
      <c r="AE40" s="485"/>
    </row>
    <row r="41" spans="2:31" x14ac:dyDescent="0.25">
      <c r="B41" s="66">
        <f t="shared" si="27"/>
        <v>0.51100000000000001</v>
      </c>
      <c r="C41" s="744">
        <v>0.63590000000000002</v>
      </c>
      <c r="D41" s="64"/>
      <c r="E41" s="70">
        <f t="shared" si="28"/>
        <v>12.978</v>
      </c>
      <c r="F41" s="70">
        <f t="shared" si="18"/>
        <v>16.152000000000001</v>
      </c>
      <c r="G41" s="60"/>
      <c r="H41" s="11">
        <v>8</v>
      </c>
      <c r="I41" s="461">
        <v>6</v>
      </c>
      <c r="J41" s="60"/>
      <c r="K41" s="378">
        <v>23.5</v>
      </c>
      <c r="L41" s="346">
        <v>35.5</v>
      </c>
      <c r="M41" s="367">
        <f t="shared" si="30"/>
        <v>12</v>
      </c>
      <c r="N41" s="371">
        <f t="shared" si="29"/>
        <v>0.51063829787234039</v>
      </c>
      <c r="O41" s="350">
        <f t="shared" si="24"/>
        <v>28.400000000000002</v>
      </c>
      <c r="P41" s="350"/>
      <c r="Q41" s="143" t="str">
        <f t="shared" si="25"/>
        <v>.511"  to  .6359"</v>
      </c>
      <c r="R41" s="144" t="str">
        <f t="shared" si="21"/>
        <v>12.978  to  16.152mm</v>
      </c>
      <c r="S41" s="466">
        <f t="shared" si="26"/>
        <v>35.5</v>
      </c>
      <c r="U41" s="296">
        <v>14.25</v>
      </c>
      <c r="V41" s="579">
        <f t="shared" si="22"/>
        <v>28.400000000000002</v>
      </c>
      <c r="W41" s="579"/>
      <c r="X41" s="621">
        <f t="shared" si="23"/>
        <v>0.99298245614035108</v>
      </c>
      <c r="AE41" s="485"/>
    </row>
    <row r="42" spans="2:31" x14ac:dyDescent="0.25">
      <c r="B42" s="66">
        <f t="shared" si="27"/>
        <v>0.63600000000000001</v>
      </c>
      <c r="C42" s="744">
        <v>0.76090000000000002</v>
      </c>
      <c r="D42" s="64"/>
      <c r="E42" s="70">
        <f t="shared" si="28"/>
        <v>16.153000000000002</v>
      </c>
      <c r="F42" s="70">
        <f t="shared" si="18"/>
        <v>19.327000000000002</v>
      </c>
      <c r="G42" s="60"/>
      <c r="H42" s="11">
        <v>9</v>
      </c>
      <c r="I42" s="461">
        <v>7</v>
      </c>
      <c r="J42" s="60"/>
      <c r="K42" s="378">
        <v>29.5</v>
      </c>
      <c r="L42" s="346">
        <v>38</v>
      </c>
      <c r="M42" s="367">
        <f t="shared" si="30"/>
        <v>8.5</v>
      </c>
      <c r="N42" s="371">
        <f t="shared" si="29"/>
        <v>0.28813559322033899</v>
      </c>
      <c r="O42" s="350">
        <f t="shared" si="24"/>
        <v>30.400000000000002</v>
      </c>
      <c r="P42" s="350"/>
      <c r="Q42" s="140" t="str">
        <f t="shared" si="25"/>
        <v>.636"  to  .7609"</v>
      </c>
      <c r="R42" s="141" t="str">
        <f t="shared" si="21"/>
        <v>16.153  to  19.327mm</v>
      </c>
      <c r="S42" s="106">
        <f t="shared" si="26"/>
        <v>38</v>
      </c>
      <c r="U42" s="296">
        <v>18</v>
      </c>
      <c r="V42" s="579">
        <f t="shared" si="22"/>
        <v>30.400000000000002</v>
      </c>
      <c r="W42" s="579"/>
      <c r="X42" s="621">
        <f t="shared" si="23"/>
        <v>0.68888888888888911</v>
      </c>
      <c r="AE42" s="485"/>
    </row>
    <row r="43" spans="2:31" ht="15.75" thickBot="1" x14ac:dyDescent="0.3">
      <c r="B43" s="66">
        <f t="shared" si="27"/>
        <v>0.76100000000000001</v>
      </c>
      <c r="C43" s="745">
        <v>1.0149999999999999</v>
      </c>
      <c r="D43" s="64"/>
      <c r="E43" s="70">
        <f t="shared" si="28"/>
        <v>19.328000000000003</v>
      </c>
      <c r="F43" s="459">
        <v>25.65</v>
      </c>
      <c r="G43" s="60"/>
      <c r="H43" s="11">
        <v>10</v>
      </c>
      <c r="I43" s="461">
        <v>8</v>
      </c>
      <c r="J43" s="60"/>
      <c r="K43" s="378">
        <v>32.5</v>
      </c>
      <c r="L43" s="346">
        <v>40</v>
      </c>
      <c r="M43" s="367">
        <f t="shared" si="30"/>
        <v>7.5</v>
      </c>
      <c r="N43" s="371">
        <f t="shared" si="29"/>
        <v>0.23076923076923078</v>
      </c>
      <c r="O43" s="350">
        <f t="shared" si="24"/>
        <v>32</v>
      </c>
      <c r="P43" s="350"/>
      <c r="Q43" s="739" t="str">
        <f t="shared" si="25"/>
        <v>.761"  to  1.015"</v>
      </c>
      <c r="R43" s="740" t="str">
        <f t="shared" si="21"/>
        <v>19.328  to  25.650mm</v>
      </c>
      <c r="S43" s="741">
        <f t="shared" si="26"/>
        <v>40</v>
      </c>
      <c r="U43" s="296">
        <v>19.75</v>
      </c>
      <c r="V43" s="579">
        <f t="shared" si="22"/>
        <v>32</v>
      </c>
      <c r="W43" s="579"/>
      <c r="X43" s="621">
        <f t="shared" si="23"/>
        <v>0.620253164556962</v>
      </c>
      <c r="AA43" s="11" t="s">
        <v>873</v>
      </c>
      <c r="AE43" s="485"/>
    </row>
    <row r="44" spans="2:31" ht="4.1500000000000004" customHeight="1" x14ac:dyDescent="0.25">
      <c r="B44" s="66"/>
      <c r="C44" s="65"/>
      <c r="D44" s="64"/>
      <c r="E44" s="65"/>
      <c r="F44" s="65"/>
      <c r="L44" s="737"/>
      <c r="S44" s="80"/>
    </row>
    <row r="45" spans="2:31" x14ac:dyDescent="0.25">
      <c r="B45" s="65"/>
      <c r="C45" s="65"/>
      <c r="D45" s="64"/>
      <c r="E45" s="65"/>
      <c r="F45" s="65"/>
      <c r="L45" s="737"/>
      <c r="Q45" t="s">
        <v>960</v>
      </c>
      <c r="S45" s="80"/>
    </row>
    <row r="46" spans="2:31" x14ac:dyDescent="0.25">
      <c r="B46" s="65"/>
      <c r="C46" s="65"/>
      <c r="D46" s="64"/>
      <c r="E46" s="65"/>
      <c r="F46" s="65"/>
      <c r="L46" s="737"/>
      <c r="S46" s="80"/>
      <c r="U46" s="11" t="s">
        <v>968</v>
      </c>
    </row>
    <row r="47" spans="2:31" ht="15.75" thickBot="1" x14ac:dyDescent="0.3">
      <c r="B47" s="65"/>
      <c r="C47" s="65"/>
      <c r="D47" s="64"/>
      <c r="E47" s="65"/>
      <c r="F47" s="65"/>
      <c r="L47" s="737"/>
      <c r="S47" s="80"/>
    </row>
    <row r="48" spans="2:31" ht="15.75" thickBot="1" x14ac:dyDescent="0.3">
      <c r="B48" s="53" t="s">
        <v>567</v>
      </c>
      <c r="C48" s="54">
        <v>1E-4</v>
      </c>
      <c r="D48" s="55"/>
      <c r="E48" s="53" t="s">
        <v>567</v>
      </c>
      <c r="F48" s="68">
        <v>1E-3</v>
      </c>
      <c r="I48" s="294" t="s">
        <v>198</v>
      </c>
      <c r="K48" s="422">
        <v>2.0000000000000002E-5</v>
      </c>
      <c r="L48" s="422">
        <v>5.0000000000000001E-4</v>
      </c>
      <c r="Q48" s="595" t="str">
        <f>_xlfn.CONCAT("Class ",$I48,"  (",TEXT($K48,".0000#"),""""," or ",TEXT($L48,".000#"),"mm)")</f>
        <v>Class XX  (.00002" or .0005mm)</v>
      </c>
      <c r="R48" s="595"/>
      <c r="S48" s="595"/>
      <c r="AE48" s="472" t="s">
        <v>702</v>
      </c>
    </row>
    <row r="49" spans="1:34" ht="17.25" x14ac:dyDescent="0.4">
      <c r="B49" s="57" t="s">
        <v>624</v>
      </c>
      <c r="C49" s="58"/>
      <c r="E49" s="57" t="s">
        <v>636</v>
      </c>
      <c r="F49" s="59"/>
      <c r="G49" s="60"/>
      <c r="H49" s="60"/>
      <c r="J49" s="60"/>
      <c r="K49" s="60"/>
      <c r="L49" s="60"/>
      <c r="M49" s="60"/>
      <c r="N49" s="60"/>
      <c r="Q49" s="136" t="s">
        <v>3</v>
      </c>
      <c r="R49" s="137"/>
      <c r="S49" s="1280" t="s">
        <v>568</v>
      </c>
    </row>
    <row r="50" spans="1:34" x14ac:dyDescent="0.25">
      <c r="B50" s="61" t="s">
        <v>6</v>
      </c>
      <c r="C50" s="62"/>
      <c r="E50" s="61" t="s">
        <v>7</v>
      </c>
      <c r="F50" s="62"/>
      <c r="G50" s="60"/>
      <c r="H50" s="742" t="s">
        <v>920</v>
      </c>
      <c r="I50" s="743" t="s">
        <v>680</v>
      </c>
      <c r="J50" s="60"/>
      <c r="K50" s="231" t="s">
        <v>622</v>
      </c>
      <c r="L50" s="264" t="s">
        <v>623</v>
      </c>
      <c r="M50" s="423" t="s">
        <v>626</v>
      </c>
      <c r="N50" s="424"/>
      <c r="O50" s="365">
        <v>0.2</v>
      </c>
      <c r="P50" s="374"/>
      <c r="Q50" s="138" t="s">
        <v>4</v>
      </c>
      <c r="R50" s="139" t="s">
        <v>5</v>
      </c>
      <c r="S50" s="1281"/>
      <c r="U50" s="622" t="s">
        <v>699</v>
      </c>
      <c r="V50" s="15" t="s">
        <v>864</v>
      </c>
      <c r="W50" s="15"/>
      <c r="X50" s="15" t="s">
        <v>701</v>
      </c>
      <c r="AF50" s="406"/>
    </row>
    <row r="51" spans="1:34" x14ac:dyDescent="0.25">
      <c r="B51" s="63">
        <v>5.0000000000000001E-3</v>
      </c>
      <c r="C51" s="744">
        <v>1.09E-2</v>
      </c>
      <c r="D51" s="64"/>
      <c r="E51" s="69">
        <v>0.22</v>
      </c>
      <c r="F51" s="70">
        <f t="shared" ref="F51:F59" si="31">ROUND(C51*$F$9,3)</f>
        <v>0.27700000000000002</v>
      </c>
      <c r="G51" s="60"/>
      <c r="H51" s="11">
        <v>1</v>
      </c>
      <c r="I51" s="461">
        <v>1</v>
      </c>
      <c r="J51" s="60"/>
      <c r="K51" s="378">
        <v>0</v>
      </c>
      <c r="L51" s="346">
        <v>96</v>
      </c>
      <c r="M51" s="367">
        <f>IF(L51=0,0,L51-K51)</f>
        <v>96</v>
      </c>
      <c r="N51" s="371">
        <f t="shared" ref="N51:N60" si="32">IFERROR(M51/K51,0)</f>
        <v>0</v>
      </c>
      <c r="O51" s="350">
        <f>(1-$O$50)*L51</f>
        <v>76.800000000000011</v>
      </c>
      <c r="P51" s="350"/>
      <c r="Q51" s="140" t="str">
        <f>_xlfn.CONCAT(TEXT($B51,"#.000#"),"""","  to  ",TEXT($C51,"#.000#"),"""")</f>
        <v>.005"  to  .0109"</v>
      </c>
      <c r="R51" s="141" t="str">
        <f t="shared" ref="R51:R60" si="33">_xlfn.CONCAT(TEXT($E51,"0.000"),"  to  ",TEXT($F51,"0.000"),"mm")</f>
        <v>0.220  to  0.277mm</v>
      </c>
      <c r="S51" s="106">
        <f>$L51</f>
        <v>96</v>
      </c>
      <c r="U51" s="296">
        <v>18.75</v>
      </c>
      <c r="V51" s="579">
        <f t="shared" ref="V51:V60" si="34">O51</f>
        <v>76.800000000000011</v>
      </c>
      <c r="W51" s="579"/>
      <c r="X51" s="621">
        <f t="shared" ref="X51:X60" si="35">(V51/U51)-1</f>
        <v>3.096000000000001</v>
      </c>
    </row>
    <row r="52" spans="1:34" x14ac:dyDescent="0.25">
      <c r="B52" s="66">
        <f>C51+$C$48</f>
        <v>1.0999999999999999E-2</v>
      </c>
      <c r="C52" s="744">
        <v>3.09E-2</v>
      </c>
      <c r="D52" s="64"/>
      <c r="E52" s="70">
        <f>F51+$F$48</f>
        <v>0.27800000000000002</v>
      </c>
      <c r="F52" s="70">
        <f t="shared" si="31"/>
        <v>0.78500000000000003</v>
      </c>
      <c r="G52" s="60"/>
      <c r="H52" s="11">
        <v>2</v>
      </c>
      <c r="I52" s="461">
        <v>1</v>
      </c>
      <c r="J52" s="60"/>
      <c r="K52" s="378"/>
      <c r="L52" s="346">
        <v>90</v>
      </c>
      <c r="M52" s="367"/>
      <c r="N52" s="371"/>
      <c r="O52" s="350"/>
      <c r="P52" s="350"/>
      <c r="Q52" s="143" t="str">
        <f t="shared" ref="Q52:Q60" si="36">_xlfn.CONCAT(TEXT($B52,"#.000#"),"""","  to  ",TEXT($C52,"#.000#"),"""")</f>
        <v>.011"  to  .0309"</v>
      </c>
      <c r="R52" s="144" t="str">
        <f t="shared" si="33"/>
        <v>0.278  to  0.785mm</v>
      </c>
      <c r="S52" s="466">
        <f t="shared" ref="S52:S60" si="37">$L52</f>
        <v>90</v>
      </c>
      <c r="U52" s="296"/>
      <c r="V52" s="579"/>
      <c r="W52" s="579"/>
      <c r="X52" s="621"/>
      <c r="AE52" s="485"/>
    </row>
    <row r="53" spans="1:34" x14ac:dyDescent="0.25">
      <c r="B53" s="66">
        <f t="shared" ref="B53:B60" si="38">C52+$C$48</f>
        <v>3.1E-2</v>
      </c>
      <c r="C53" s="744">
        <v>7.5899999999999995E-2</v>
      </c>
      <c r="D53" s="64"/>
      <c r="E53" s="70">
        <f t="shared" ref="E53:E59" si="39">F52+$F$48</f>
        <v>0.78600000000000003</v>
      </c>
      <c r="F53" s="70">
        <f t="shared" si="31"/>
        <v>1.9279999999999999</v>
      </c>
      <c r="G53" s="60"/>
      <c r="H53" s="11">
        <v>3</v>
      </c>
      <c r="I53" s="461">
        <v>1</v>
      </c>
      <c r="J53" s="60"/>
      <c r="K53" s="378">
        <v>0</v>
      </c>
      <c r="L53" s="346">
        <v>78</v>
      </c>
      <c r="M53" s="367">
        <f>IF(L53=0,0,L53-K53)</f>
        <v>78</v>
      </c>
      <c r="N53" s="371">
        <f t="shared" si="32"/>
        <v>0</v>
      </c>
      <c r="O53" s="350">
        <f t="shared" ref="O53:O60" si="40">(1-$O$50)*L53</f>
        <v>62.400000000000006</v>
      </c>
      <c r="P53" s="350"/>
      <c r="Q53" s="140" t="str">
        <f t="shared" si="36"/>
        <v>.031"  to  .0759"</v>
      </c>
      <c r="R53" s="141" t="str">
        <f t="shared" si="33"/>
        <v>0.786  to  1.928mm</v>
      </c>
      <c r="S53" s="106">
        <f t="shared" si="37"/>
        <v>78</v>
      </c>
      <c r="U53" s="296">
        <v>15.75</v>
      </c>
      <c r="V53" s="579">
        <f t="shared" si="34"/>
        <v>62.400000000000006</v>
      </c>
      <c r="W53" s="579"/>
      <c r="X53" s="621">
        <f t="shared" si="35"/>
        <v>2.9619047619047625</v>
      </c>
    </row>
    <row r="54" spans="1:34" x14ac:dyDescent="0.25">
      <c r="B54" s="66">
        <f t="shared" si="38"/>
        <v>7.5999999999999998E-2</v>
      </c>
      <c r="C54" s="744">
        <v>0.18090000000000001</v>
      </c>
      <c r="D54" s="64"/>
      <c r="E54" s="70">
        <f t="shared" si="39"/>
        <v>1.9289999999999998</v>
      </c>
      <c r="F54" s="70">
        <f t="shared" si="31"/>
        <v>4.5949999999999998</v>
      </c>
      <c r="G54" s="60"/>
      <c r="H54" s="11">
        <v>4</v>
      </c>
      <c r="I54" s="461">
        <v>2</v>
      </c>
      <c r="J54" s="60"/>
      <c r="K54" s="378">
        <v>59</v>
      </c>
      <c r="L54" s="346">
        <v>70</v>
      </c>
      <c r="M54" s="367">
        <f>IF(L54=0,0,L54-K54)</f>
        <v>11</v>
      </c>
      <c r="N54" s="371">
        <f t="shared" si="32"/>
        <v>0.1864406779661017</v>
      </c>
      <c r="O54" s="350">
        <f t="shared" si="40"/>
        <v>56</v>
      </c>
      <c r="P54" s="350"/>
      <c r="Q54" s="143" t="str">
        <f t="shared" si="36"/>
        <v>.076"  to  .1809"</v>
      </c>
      <c r="R54" s="144" t="str">
        <f t="shared" si="33"/>
        <v>1.929  to  4.595mm</v>
      </c>
      <c r="S54" s="466">
        <f t="shared" si="37"/>
        <v>70</v>
      </c>
      <c r="U54" s="296">
        <v>12.25</v>
      </c>
      <c r="V54" s="579">
        <f t="shared" si="34"/>
        <v>56</v>
      </c>
      <c r="W54" s="579"/>
      <c r="X54" s="621">
        <f t="shared" si="35"/>
        <v>3.5714285714285712</v>
      </c>
    </row>
    <row r="55" spans="1:34" s="11" customFormat="1" x14ac:dyDescent="0.25">
      <c r="A55"/>
      <c r="B55" s="66">
        <f t="shared" si="38"/>
        <v>0.18099999999999999</v>
      </c>
      <c r="C55" s="744">
        <v>0.28189999999999998</v>
      </c>
      <c r="D55" s="64"/>
      <c r="E55" s="70">
        <f t="shared" si="39"/>
        <v>4.5960000000000001</v>
      </c>
      <c r="F55" s="70">
        <f t="shared" si="31"/>
        <v>7.16</v>
      </c>
      <c r="G55" s="60"/>
      <c r="H55" s="11">
        <v>5</v>
      </c>
      <c r="I55" s="461">
        <v>3</v>
      </c>
      <c r="J55" s="60"/>
      <c r="K55" s="378">
        <v>55.75</v>
      </c>
      <c r="L55" s="346">
        <v>72</v>
      </c>
      <c r="M55" s="367">
        <f t="shared" ref="M55:M60" si="41">IF(L55=0,0,L55-K55)</f>
        <v>16.25</v>
      </c>
      <c r="N55" s="371">
        <f t="shared" si="32"/>
        <v>0.2914798206278027</v>
      </c>
      <c r="O55" s="350">
        <f t="shared" si="40"/>
        <v>57.6</v>
      </c>
      <c r="P55" s="350"/>
      <c r="Q55" s="140" t="str">
        <f t="shared" si="36"/>
        <v>.181"  to  .2819"</v>
      </c>
      <c r="R55" s="141" t="str">
        <f t="shared" si="33"/>
        <v>4.596  to  7.160mm</v>
      </c>
      <c r="S55" s="106">
        <f t="shared" si="37"/>
        <v>72</v>
      </c>
      <c r="T55" s="51"/>
      <c r="U55" s="296">
        <v>12.25</v>
      </c>
      <c r="V55" s="579">
        <f t="shared" si="34"/>
        <v>57.6</v>
      </c>
      <c r="W55" s="579"/>
      <c r="X55" s="621">
        <f t="shared" si="35"/>
        <v>3.702040816326531</v>
      </c>
      <c r="AE55" s="65"/>
      <c r="AF55" s="65"/>
      <c r="AG55" s="51"/>
      <c r="AH55"/>
    </row>
    <row r="56" spans="1:34" s="11" customFormat="1" x14ac:dyDescent="0.25">
      <c r="A56"/>
      <c r="B56" s="66">
        <f>C55+$C$48</f>
        <v>0.28199999999999997</v>
      </c>
      <c r="C56" s="744">
        <v>0.40689999999999998</v>
      </c>
      <c r="D56" s="64"/>
      <c r="E56" s="70">
        <f t="shared" si="39"/>
        <v>7.1610000000000005</v>
      </c>
      <c r="F56" s="70">
        <f t="shared" si="31"/>
        <v>10.335000000000001</v>
      </c>
      <c r="G56" s="60"/>
      <c r="H56" s="11">
        <v>6</v>
      </c>
      <c r="I56" s="461">
        <v>4</v>
      </c>
      <c r="J56" s="60"/>
      <c r="K56" s="378">
        <v>56.75</v>
      </c>
      <c r="L56" s="346">
        <v>74</v>
      </c>
      <c r="M56" s="367">
        <f t="shared" si="41"/>
        <v>17.25</v>
      </c>
      <c r="N56" s="371">
        <f t="shared" si="32"/>
        <v>0.30396475770925108</v>
      </c>
      <c r="O56" s="350">
        <f t="shared" si="40"/>
        <v>59.2</v>
      </c>
      <c r="P56" s="350"/>
      <c r="Q56" s="143" t="str">
        <f t="shared" si="36"/>
        <v>.282"  to  .4069"</v>
      </c>
      <c r="R56" s="144" t="str">
        <f t="shared" si="33"/>
        <v>7.161  to  10.335mm</v>
      </c>
      <c r="S56" s="466">
        <f t="shared" si="37"/>
        <v>74</v>
      </c>
      <c r="T56" s="51"/>
      <c r="U56" s="296">
        <v>12.5</v>
      </c>
      <c r="V56" s="579">
        <f t="shared" si="34"/>
        <v>59.2</v>
      </c>
      <c r="W56" s="579"/>
      <c r="X56" s="621">
        <f t="shared" si="35"/>
        <v>3.7360000000000007</v>
      </c>
      <c r="AE56" s="65"/>
      <c r="AF56" s="65"/>
      <c r="AG56" s="51"/>
      <c r="AH56"/>
    </row>
    <row r="57" spans="1:34" s="11" customFormat="1" x14ac:dyDescent="0.25">
      <c r="A57"/>
      <c r="B57" s="66">
        <f t="shared" si="38"/>
        <v>0.40699999999999997</v>
      </c>
      <c r="C57" s="744">
        <v>0.51090000000000002</v>
      </c>
      <c r="D57" s="64"/>
      <c r="E57" s="70">
        <f t="shared" si="39"/>
        <v>10.336</v>
      </c>
      <c r="F57" s="70">
        <f t="shared" si="31"/>
        <v>12.977</v>
      </c>
      <c r="G57" s="60"/>
      <c r="H57" s="11">
        <v>7</v>
      </c>
      <c r="I57" s="461">
        <v>5</v>
      </c>
      <c r="J57" s="60"/>
      <c r="K57" s="378">
        <v>61</v>
      </c>
      <c r="L57" s="346">
        <v>76</v>
      </c>
      <c r="M57" s="367">
        <f t="shared" si="41"/>
        <v>15</v>
      </c>
      <c r="N57" s="371">
        <f t="shared" si="32"/>
        <v>0.24590163934426229</v>
      </c>
      <c r="O57" s="350">
        <f t="shared" si="40"/>
        <v>60.800000000000004</v>
      </c>
      <c r="P57" s="350"/>
      <c r="Q57" s="140" t="str">
        <f t="shared" si="36"/>
        <v>.407"  to  .5109"</v>
      </c>
      <c r="R57" s="141" t="str">
        <f t="shared" si="33"/>
        <v>10.336  to  12.977mm</v>
      </c>
      <c r="S57" s="106">
        <f t="shared" si="37"/>
        <v>76</v>
      </c>
      <c r="T57" s="51"/>
      <c r="U57" s="296">
        <v>13.25</v>
      </c>
      <c r="V57" s="579">
        <f t="shared" si="34"/>
        <v>60.800000000000004</v>
      </c>
      <c r="W57" s="579"/>
      <c r="X57" s="621">
        <f t="shared" si="35"/>
        <v>3.5886792452830196</v>
      </c>
      <c r="AE57" s="65"/>
      <c r="AF57" s="65"/>
      <c r="AG57" s="51"/>
      <c r="AH57"/>
    </row>
    <row r="58" spans="1:34" s="11" customFormat="1" x14ac:dyDescent="0.25">
      <c r="A58" s="46"/>
      <c r="B58" s="66">
        <f t="shared" si="38"/>
        <v>0.51100000000000001</v>
      </c>
      <c r="C58" s="744">
        <v>0.63590000000000002</v>
      </c>
      <c r="D58" s="64"/>
      <c r="E58" s="70">
        <f t="shared" si="39"/>
        <v>12.978</v>
      </c>
      <c r="F58" s="70">
        <f t="shared" si="31"/>
        <v>16.152000000000001</v>
      </c>
      <c r="G58" s="60"/>
      <c r="H58" s="11">
        <v>8</v>
      </c>
      <c r="I58" s="461">
        <v>6</v>
      </c>
      <c r="J58" s="60"/>
      <c r="K58" s="378">
        <v>63</v>
      </c>
      <c r="L58" s="346">
        <v>80</v>
      </c>
      <c r="M58" s="367">
        <f t="shared" si="41"/>
        <v>17</v>
      </c>
      <c r="N58" s="371">
        <f t="shared" si="32"/>
        <v>0.26984126984126983</v>
      </c>
      <c r="O58" s="350">
        <f t="shared" si="40"/>
        <v>64</v>
      </c>
      <c r="P58" s="350"/>
      <c r="Q58" s="143" t="str">
        <f t="shared" si="36"/>
        <v>.511"  to  .6359"</v>
      </c>
      <c r="R58" s="144" t="str">
        <f t="shared" si="33"/>
        <v>12.978  to  16.152mm</v>
      </c>
      <c r="S58" s="466">
        <f t="shared" si="37"/>
        <v>80</v>
      </c>
      <c r="T58" s="51"/>
      <c r="U58" s="296">
        <v>14.25</v>
      </c>
      <c r="V58" s="579">
        <f t="shared" si="34"/>
        <v>64</v>
      </c>
      <c r="W58" s="579"/>
      <c r="X58" s="621">
        <f t="shared" si="35"/>
        <v>3.4912280701754383</v>
      </c>
      <c r="AE58" s="65"/>
      <c r="AF58" s="65"/>
      <c r="AG58" s="51"/>
      <c r="AH58"/>
    </row>
    <row r="59" spans="1:34" s="11" customFormat="1" x14ac:dyDescent="0.25">
      <c r="A59" s="46"/>
      <c r="B59" s="66">
        <f t="shared" si="38"/>
        <v>0.63600000000000001</v>
      </c>
      <c r="C59" s="744">
        <v>0.76090000000000002</v>
      </c>
      <c r="D59" s="64"/>
      <c r="E59" s="70">
        <f t="shared" si="39"/>
        <v>16.153000000000002</v>
      </c>
      <c r="F59" s="70">
        <f t="shared" si="31"/>
        <v>19.327000000000002</v>
      </c>
      <c r="G59" s="60"/>
      <c r="H59" s="11">
        <v>9</v>
      </c>
      <c r="I59" s="461">
        <v>7</v>
      </c>
      <c r="J59" s="60"/>
      <c r="K59" s="378">
        <v>67.25</v>
      </c>
      <c r="L59" s="346">
        <v>88</v>
      </c>
      <c r="M59" s="367">
        <f t="shared" si="41"/>
        <v>20.75</v>
      </c>
      <c r="N59" s="371">
        <f t="shared" si="32"/>
        <v>0.30855018587360594</v>
      </c>
      <c r="O59" s="350">
        <f t="shared" si="40"/>
        <v>70.400000000000006</v>
      </c>
      <c r="P59" s="350"/>
      <c r="Q59" s="140" t="str">
        <f t="shared" si="36"/>
        <v>.636"  to  .7609"</v>
      </c>
      <c r="R59" s="141" t="str">
        <f t="shared" si="33"/>
        <v>16.153  to  19.327mm</v>
      </c>
      <c r="S59" s="106">
        <f t="shared" si="37"/>
        <v>88</v>
      </c>
      <c r="T59" s="51"/>
      <c r="U59" s="296">
        <v>18</v>
      </c>
      <c r="V59" s="579">
        <f t="shared" si="34"/>
        <v>70.400000000000006</v>
      </c>
      <c r="W59" s="579"/>
      <c r="X59" s="621">
        <f t="shared" si="35"/>
        <v>2.9111111111111114</v>
      </c>
      <c r="AE59" s="65"/>
      <c r="AF59" s="65"/>
      <c r="AG59" s="51"/>
      <c r="AH59"/>
    </row>
    <row r="60" spans="1:34" s="11" customFormat="1" ht="15.75" thickBot="1" x14ac:dyDescent="0.3">
      <c r="A60"/>
      <c r="B60" s="66">
        <f t="shared" si="38"/>
        <v>0.76100000000000001</v>
      </c>
      <c r="C60" s="745">
        <v>1.0149999999999999</v>
      </c>
      <c r="D60" s="64"/>
      <c r="E60" s="70">
        <f t="shared" ref="E60" si="42">F59+$F$48</f>
        <v>19.328000000000003</v>
      </c>
      <c r="F60" s="459">
        <v>25.65</v>
      </c>
      <c r="G60" s="60"/>
      <c r="H60" s="11">
        <v>10</v>
      </c>
      <c r="I60" s="461">
        <v>8</v>
      </c>
      <c r="J60" s="60"/>
      <c r="K60" s="378">
        <v>102</v>
      </c>
      <c r="L60" s="346">
        <v>100</v>
      </c>
      <c r="M60" s="367">
        <f t="shared" si="41"/>
        <v>-2</v>
      </c>
      <c r="N60" s="371">
        <f t="shared" si="32"/>
        <v>-1.9607843137254902E-2</v>
      </c>
      <c r="O60" s="350">
        <f t="shared" si="40"/>
        <v>80</v>
      </c>
      <c r="P60" s="350"/>
      <c r="Q60" s="739" t="str">
        <f t="shared" si="36"/>
        <v>.761"  to  1.015"</v>
      </c>
      <c r="R60" s="740" t="str">
        <f t="shared" si="33"/>
        <v>19.328  to  25.650mm</v>
      </c>
      <c r="S60" s="741">
        <f t="shared" si="37"/>
        <v>100</v>
      </c>
      <c r="T60" s="51"/>
      <c r="U60" s="296">
        <v>19.75</v>
      </c>
      <c r="V60" s="579">
        <f t="shared" si="34"/>
        <v>80</v>
      </c>
      <c r="W60" s="579"/>
      <c r="X60" s="621">
        <f t="shared" si="35"/>
        <v>3.0506329113924053</v>
      </c>
      <c r="AE60" s="65"/>
      <c r="AF60" s="65"/>
      <c r="AG60" s="51"/>
      <c r="AH60"/>
    </row>
    <row r="61" spans="1:34" s="11" customFormat="1" ht="4.1500000000000004" customHeight="1" x14ac:dyDescent="0.25">
      <c r="A61"/>
      <c r="B61" s="65"/>
      <c r="C61" s="65"/>
      <c r="D61" s="64"/>
      <c r="E61" s="65"/>
      <c r="F61" s="65"/>
      <c r="G61" s="52"/>
      <c r="H61" s="52"/>
      <c r="I61" s="65"/>
      <c r="J61" s="52"/>
      <c r="K61" s="52"/>
      <c r="L61" s="737"/>
      <c r="M61" s="52"/>
      <c r="N61" s="52"/>
      <c r="O61"/>
      <c r="P61"/>
      <c r="Q61" s="51"/>
      <c r="R61" s="51"/>
      <c r="S61" s="71"/>
      <c r="T61" s="51"/>
      <c r="AE61" s="65"/>
      <c r="AF61" s="65"/>
      <c r="AG61" s="51"/>
      <c r="AH61"/>
    </row>
    <row r="62" spans="1:34" s="11" customFormat="1" x14ac:dyDescent="0.25">
      <c r="A62"/>
      <c r="B62" s="51"/>
      <c r="C62" s="51"/>
      <c r="D62" s="52"/>
      <c r="E62" s="51"/>
      <c r="F62" s="51"/>
      <c r="G62" s="52"/>
      <c r="H62" s="52"/>
      <c r="I62" s="65"/>
      <c r="J62" s="52"/>
      <c r="K62" s="52"/>
      <c r="L62" s="52"/>
      <c r="M62" s="52"/>
      <c r="N62" s="52"/>
      <c r="O62"/>
      <c r="P62"/>
      <c r="Q62" t="s">
        <v>960</v>
      </c>
      <c r="R62" s="51"/>
      <c r="S62" s="71"/>
      <c r="T62" s="51"/>
      <c r="AE62" s="65"/>
      <c r="AF62" s="65"/>
      <c r="AG62" s="51"/>
      <c r="AH62"/>
    </row>
    <row r="63" spans="1:34" s="11" customFormat="1" x14ac:dyDescent="0.25">
      <c r="A63"/>
      <c r="B63" s="51"/>
      <c r="C63" s="51"/>
      <c r="D63" s="52"/>
      <c r="E63" s="51"/>
      <c r="F63" s="51"/>
      <c r="G63" s="52"/>
      <c r="H63" s="52"/>
      <c r="I63" s="65"/>
      <c r="J63" s="52"/>
      <c r="K63" s="52"/>
      <c r="L63" s="52"/>
      <c r="M63" s="52"/>
      <c r="N63" s="52"/>
      <c r="O63"/>
      <c r="P63"/>
      <c r="Q63" s="51"/>
      <c r="R63" s="51"/>
      <c r="S63" s="71"/>
      <c r="T63" s="51"/>
      <c r="AE63" s="65"/>
      <c r="AF63" s="65"/>
      <c r="AG63" s="51"/>
      <c r="AH63"/>
    </row>
    <row r="64" spans="1:34" s="11" customFormat="1" x14ac:dyDescent="0.25">
      <c r="A64"/>
      <c r="B64" s="51"/>
      <c r="C64" s="51"/>
      <c r="D64" s="52"/>
      <c r="E64" s="51"/>
      <c r="F64" s="51"/>
      <c r="G64" s="52"/>
      <c r="H64" s="52"/>
      <c r="I64" s="65"/>
      <c r="J64" s="52"/>
      <c r="K64" s="52"/>
      <c r="L64" s="346"/>
      <c r="M64" s="52"/>
      <c r="N64" s="52"/>
      <c r="O64"/>
      <c r="P64"/>
      <c r="Q64" s="486"/>
      <c r="R64" s="51"/>
      <c r="S64" s="71"/>
      <c r="T64" s="51"/>
      <c r="AE64" s="65"/>
      <c r="AF64" s="65"/>
      <c r="AG64" s="51"/>
      <c r="AH64"/>
    </row>
    <row r="65" spans="1:34" s="11" customFormat="1" x14ac:dyDescent="0.25">
      <c r="A65"/>
      <c r="B65" s="51"/>
      <c r="C65" s="51"/>
      <c r="D65" s="52"/>
      <c r="E65" s="51"/>
      <c r="F65" s="51"/>
      <c r="G65" s="52"/>
      <c r="H65" s="52"/>
      <c r="I65" s="65"/>
      <c r="J65" s="52"/>
      <c r="K65" s="487"/>
      <c r="L65" s="346"/>
      <c r="M65" s="52"/>
      <c r="N65" s="52"/>
      <c r="O65"/>
      <c r="P65"/>
      <c r="Q65" s="51"/>
      <c r="R65" s="51"/>
      <c r="S65" s="71"/>
      <c r="T65" s="51"/>
      <c r="AE65" s="65"/>
      <c r="AF65" s="65"/>
      <c r="AG65" s="51"/>
      <c r="AH65"/>
    </row>
    <row r="66" spans="1:34" s="11" customFormat="1" x14ac:dyDescent="0.25">
      <c r="A66"/>
      <c r="B66" s="51"/>
      <c r="C66" s="51"/>
      <c r="D66" s="52"/>
      <c r="E66" s="51"/>
      <c r="F66" s="51"/>
      <c r="G66" s="52"/>
      <c r="H66" s="52"/>
      <c r="I66" s="65"/>
      <c r="J66" s="52"/>
      <c r="K66" s="52"/>
      <c r="L66" s="346"/>
      <c r="M66" s="52"/>
      <c r="N66" s="52"/>
      <c r="O66"/>
      <c r="P66"/>
      <c r="Q66" s="51"/>
      <c r="R66" s="51"/>
      <c r="S66" s="51"/>
      <c r="T66" s="51"/>
      <c r="AE66" s="65"/>
      <c r="AF66" s="65"/>
      <c r="AG66" s="51"/>
      <c r="AH66"/>
    </row>
    <row r="67" spans="1:34" s="11" customFormat="1" x14ac:dyDescent="0.25">
      <c r="A67"/>
      <c r="B67" s="51"/>
      <c r="C67" s="51"/>
      <c r="D67" s="52"/>
      <c r="E67" s="51"/>
      <c r="F67" s="51"/>
      <c r="G67" s="52"/>
      <c r="H67" s="52"/>
      <c r="I67" s="65"/>
      <c r="J67" s="52"/>
      <c r="K67" s="52"/>
      <c r="L67" s="346"/>
      <c r="M67" s="52"/>
      <c r="N67" s="52"/>
      <c r="O67"/>
      <c r="P67"/>
      <c r="Q67" s="51"/>
      <c r="R67" s="51"/>
      <c r="S67" s="51"/>
      <c r="T67" s="51"/>
      <c r="AE67" s="65"/>
      <c r="AF67" s="65"/>
      <c r="AG67" s="51"/>
      <c r="AH67"/>
    </row>
    <row r="68" spans="1:34" s="11" customFormat="1" x14ac:dyDescent="0.25">
      <c r="A68"/>
      <c r="B68" s="51"/>
      <c r="C68" s="51"/>
      <c r="D68" s="52"/>
      <c r="E68" s="51"/>
      <c r="F68" s="51"/>
      <c r="G68" s="52"/>
      <c r="H68" s="52"/>
      <c r="I68" s="65"/>
      <c r="J68" s="52"/>
      <c r="K68" s="52"/>
      <c r="L68" s="346"/>
      <c r="M68" s="52"/>
      <c r="N68" s="52"/>
      <c r="O68"/>
      <c r="P68"/>
      <c r="Q68" s="51"/>
      <c r="R68" s="51"/>
      <c r="S68" s="51"/>
      <c r="T68" s="51"/>
      <c r="AE68" s="65"/>
      <c r="AF68" s="65"/>
      <c r="AG68" s="51"/>
      <c r="AH68"/>
    </row>
    <row r="69" spans="1:34" s="11" customFormat="1" x14ac:dyDescent="0.25">
      <c r="A69"/>
      <c r="B69" s="51"/>
      <c r="C69" s="51"/>
      <c r="D69" s="52"/>
      <c r="E69" s="51"/>
      <c r="F69" s="51"/>
      <c r="G69" s="52"/>
      <c r="H69" s="52"/>
      <c r="I69" s="65"/>
      <c r="J69" s="52"/>
      <c r="K69" s="52"/>
      <c r="L69" s="346"/>
      <c r="M69" s="52"/>
      <c r="N69" s="52"/>
      <c r="O69"/>
      <c r="P69"/>
      <c r="Q69" s="51"/>
      <c r="R69" s="51"/>
      <c r="S69" s="51"/>
      <c r="T69" s="51"/>
      <c r="AE69" s="65"/>
      <c r="AF69" s="65"/>
      <c r="AG69" s="51"/>
      <c r="AH69"/>
    </row>
    <row r="70" spans="1:34" s="11" customFormat="1" x14ac:dyDescent="0.25">
      <c r="A70"/>
      <c r="B70" s="51"/>
      <c r="C70" s="51"/>
      <c r="D70" s="52"/>
      <c r="E70" s="51"/>
      <c r="F70" s="51"/>
      <c r="G70" s="52"/>
      <c r="H70" s="52"/>
      <c r="I70" s="65"/>
      <c r="J70" s="52"/>
      <c r="K70" s="52"/>
      <c r="L70" s="346"/>
      <c r="M70" s="52"/>
      <c r="N70" s="52"/>
      <c r="O70"/>
      <c r="P70"/>
      <c r="Q70" s="51"/>
      <c r="R70" s="51"/>
      <c r="S70" s="51"/>
      <c r="T70" s="51"/>
      <c r="AE70" s="65"/>
      <c r="AF70" s="65"/>
      <c r="AG70" s="51"/>
      <c r="AH70"/>
    </row>
    <row r="71" spans="1:34" s="52" customFormat="1" x14ac:dyDescent="0.25">
      <c r="A71"/>
      <c r="B71" s="51"/>
      <c r="C71" s="51"/>
      <c r="E71" s="51"/>
      <c r="F71" s="51"/>
      <c r="I71" s="65"/>
      <c r="L71" s="346"/>
      <c r="O71"/>
      <c r="P71"/>
      <c r="Q71" s="51"/>
      <c r="R71" s="51"/>
      <c r="S71" s="51"/>
      <c r="T71" s="5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65"/>
      <c r="AF71" s="65"/>
      <c r="AG71" s="51"/>
      <c r="AH71"/>
    </row>
    <row r="72" spans="1:34" s="52" customFormat="1" x14ac:dyDescent="0.25">
      <c r="A72"/>
      <c r="B72" s="51"/>
      <c r="C72" s="51"/>
      <c r="E72" s="51"/>
      <c r="F72" s="51"/>
      <c r="I72" s="65"/>
      <c r="L72" s="346"/>
      <c r="O72"/>
      <c r="P72"/>
      <c r="Q72" s="51"/>
      <c r="R72" s="51"/>
      <c r="S72" s="51"/>
      <c r="T72" s="5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65"/>
      <c r="AF72" s="65"/>
      <c r="AG72" s="51"/>
      <c r="AH72"/>
    </row>
  </sheetData>
  <sheetProtection algorithmName="SHA-512" hashValue="sD4dg+do0/9EjLzyjIYM9zfIXzao/Pedqkd4yGrq9ZrYZrws8fbOpmXsGS0lVYvalZDL7BaXwE9PGQZWYwBuNQ==" saltValue="94tS7GPOlm4ryjI8JAPBDw==" spinCount="100000" sheet="1" objects="1" scenarios="1"/>
  <mergeCells count="3">
    <mergeCell ref="S15:S16"/>
    <mergeCell ref="S32:S33"/>
    <mergeCell ref="S49:S50"/>
  </mergeCells>
  <pageMargins left="0.1" right="0.1" top="0.25" bottom="0.25" header="0.3" footer="0.3"/>
  <pageSetup scale="92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CD163-1A6C-4E2A-9A44-829195E8E910}">
  <sheetPr codeName="Sheet9">
    <outlinePr summaryBelow="0"/>
    <pageSetUpPr autoPageBreaks="0" fitToPage="1"/>
  </sheetPr>
  <dimension ref="A1:AK58"/>
  <sheetViews>
    <sheetView showGridLines="0" zoomScale="90" zoomScaleNormal="90" workbookViewId="0">
      <selection activeCell="Y54" sqref="Y54"/>
    </sheetView>
  </sheetViews>
  <sheetFormatPr defaultRowHeight="15" outlineLevelRow="1" outlineLevelCol="1" x14ac:dyDescent="0.25"/>
  <cols>
    <col min="1" max="1" width="2.7109375" customWidth="1"/>
    <col min="2" max="2" width="11.7109375" hidden="1" customWidth="1" outlineLevel="1"/>
    <col min="3" max="3" width="10.28515625" hidden="1" customWidth="1" outlineLevel="1"/>
    <col min="4" max="4" width="2.7109375" hidden="1" customWidth="1" outlineLevel="1"/>
    <col min="5" max="6" width="11.28515625" hidden="1" customWidth="1" outlineLevel="1"/>
    <col min="7" max="7" width="2.7109375" hidden="1" customWidth="1" outlineLevel="1"/>
    <col min="8" max="8" width="11.7109375" hidden="1" customWidth="1" outlineLevel="1"/>
    <col min="9" max="9" width="11.42578125" hidden="1" customWidth="1" outlineLevel="1" collapsed="1"/>
    <col min="10" max="10" width="12.140625" style="35" hidden="1" customWidth="1" outlineLevel="1"/>
    <col min="11" max="11" width="12.42578125" hidden="1" customWidth="1" outlineLevel="1"/>
    <col min="12" max="14" width="11.140625" hidden="1" customWidth="1" outlineLevel="1"/>
    <col min="15" max="15" width="2.7109375" hidden="1" customWidth="1" outlineLevel="1"/>
    <col min="16" max="16" width="10.42578125" style="34" hidden="1" customWidth="1" outlineLevel="1"/>
    <col min="17" max="17" width="11.140625" hidden="1" customWidth="1" outlineLevel="1"/>
    <col min="18" max="18" width="11.140625" style="35" hidden="1" customWidth="1" outlineLevel="1"/>
    <col min="19" max="22" width="11.140625" hidden="1" customWidth="1" outlineLevel="1"/>
    <col min="23" max="23" width="2.7109375" hidden="1" customWidth="1" outlineLevel="1"/>
    <col min="24" max="24" width="1.7109375" hidden="1" customWidth="1" outlineLevel="1"/>
    <col min="25" max="25" width="16.28515625" customWidth="1" collapsed="1"/>
    <col min="26" max="26" width="16.7109375" customWidth="1"/>
    <col min="27" max="27" width="21.28515625" customWidth="1"/>
    <col min="28" max="30" width="15.5703125" customWidth="1"/>
    <col min="31" max="31" width="6.28515625" customWidth="1"/>
    <col min="32" max="32" width="16.28515625" customWidth="1"/>
    <col min="33" max="33" width="17.28515625" customWidth="1"/>
    <col min="34" max="34" width="25.28515625" customWidth="1"/>
    <col min="35" max="37" width="16.140625" customWidth="1"/>
  </cols>
  <sheetData>
    <row r="1" spans="2:37" ht="9.9499999999999993" customHeight="1" x14ac:dyDescent="0.25"/>
    <row r="2" spans="2:37" ht="21" collapsed="1" x14ac:dyDescent="0.35">
      <c r="Y2" s="1" t="s">
        <v>8</v>
      </c>
      <c r="AF2" s="1"/>
    </row>
    <row r="3" spans="2:37" hidden="1" outlineLevel="1" x14ac:dyDescent="0.25">
      <c r="B3" s="574" t="s">
        <v>859</v>
      </c>
      <c r="C3" s="574" t="s">
        <v>860</v>
      </c>
      <c r="H3" s="37" t="s">
        <v>628</v>
      </c>
      <c r="J3" s="574"/>
      <c r="Y3" s="17"/>
    </row>
    <row r="4" spans="2:37" hidden="1" outlineLevel="1" x14ac:dyDescent="0.25">
      <c r="B4" s="2">
        <v>100</v>
      </c>
      <c r="C4" s="2" t="s">
        <v>757</v>
      </c>
      <c r="H4" s="381" t="s">
        <v>630</v>
      </c>
      <c r="Y4" s="17"/>
    </row>
    <row r="5" spans="2:37" hidden="1" outlineLevel="1" x14ac:dyDescent="0.25">
      <c r="B5" s="2">
        <v>130</v>
      </c>
      <c r="C5" s="2" t="s">
        <v>765</v>
      </c>
      <c r="H5" s="574"/>
      <c r="Y5" s="17"/>
    </row>
    <row r="6" spans="2:37" hidden="1" outlineLevel="1" x14ac:dyDescent="0.25">
      <c r="H6" s="13" t="s">
        <v>627</v>
      </c>
      <c r="Y6" s="17"/>
    </row>
    <row r="7" spans="2:37" hidden="1" outlineLevel="1" x14ac:dyDescent="0.25">
      <c r="B7" s="13"/>
      <c r="J7" s="574"/>
      <c r="Y7" s="17"/>
    </row>
    <row r="8" spans="2:37" x14ac:dyDescent="0.25">
      <c r="B8" s="13"/>
      <c r="J8" s="574"/>
      <c r="Y8" s="17"/>
    </row>
    <row r="9" spans="2:37" x14ac:dyDescent="0.25">
      <c r="R9" s="396" t="s">
        <v>635</v>
      </c>
      <c r="S9" s="400" t="s">
        <v>637</v>
      </c>
      <c r="Y9" s="396" t="str">
        <f>_xlfn.CONCAT($R$9,"  ",S9)</f>
        <v>•  Class Z (.0001" or .0025mm tolerance)</v>
      </c>
      <c r="AC9" s="398"/>
      <c r="AD9" s="398"/>
      <c r="AE9" s="72"/>
      <c r="AF9" s="398"/>
      <c r="AG9" s="396"/>
    </row>
    <row r="10" spans="2:37" x14ac:dyDescent="0.25">
      <c r="R10" s="398"/>
      <c r="S10" s="400" t="s">
        <v>631</v>
      </c>
      <c r="Y10" s="396" t="str">
        <f>_xlfn.CONCAT($R$9,"  ",S10)</f>
        <v>•  Go (Plus) or NoGo (Minus)</v>
      </c>
      <c r="AC10" s="398"/>
      <c r="AD10" s="398"/>
      <c r="AE10" s="72"/>
      <c r="AF10" s="398"/>
      <c r="AG10" s="396"/>
    </row>
    <row r="11" spans="2:37" x14ac:dyDescent="0.25">
      <c r="S11" s="400" t="s">
        <v>638</v>
      </c>
      <c r="Y11" s="396" t="str">
        <f>_xlfn.CONCAT($R$9,"  ",S11)</f>
        <v>•  .001" or .02mm increments</v>
      </c>
      <c r="AF11" s="398"/>
    </row>
    <row r="12" spans="2:37" ht="15.75" thickBot="1" x14ac:dyDescent="0.3">
      <c r="S12" s="400"/>
      <c r="Y12" s="396"/>
    </row>
    <row r="13" spans="2:37" x14ac:dyDescent="0.25">
      <c r="B13" s="21" t="s">
        <v>624</v>
      </c>
      <c r="C13" s="3"/>
      <c r="E13" s="21" t="s">
        <v>625</v>
      </c>
      <c r="F13" s="5"/>
      <c r="I13" s="5"/>
      <c r="J13" s="345"/>
      <c r="K13" s="374"/>
      <c r="L13" s="5"/>
      <c r="M13" s="5"/>
      <c r="O13" s="5"/>
      <c r="P13" s="453"/>
      <c r="Q13" s="5"/>
      <c r="R13" s="345"/>
      <c r="S13" s="374"/>
      <c r="T13" s="5"/>
      <c r="U13" s="5"/>
      <c r="Y13" s="592" t="s">
        <v>570</v>
      </c>
      <c r="Z13" s="595"/>
      <c r="AA13" s="595"/>
      <c r="AB13" s="595"/>
      <c r="AC13" s="595"/>
      <c r="AD13" s="596"/>
      <c r="AE13" s="92"/>
      <c r="AF13" s="595" t="s">
        <v>571</v>
      </c>
      <c r="AG13" s="595"/>
      <c r="AH13" s="595"/>
      <c r="AI13" s="595"/>
      <c r="AJ13" s="595"/>
      <c r="AK13" s="596"/>
    </row>
    <row r="14" spans="2:37" ht="30" x14ac:dyDescent="0.25">
      <c r="B14" s="307" t="s">
        <v>6</v>
      </c>
      <c r="C14" s="347"/>
      <c r="D14" s="92"/>
      <c r="E14" s="348" t="s">
        <v>7</v>
      </c>
      <c r="F14" s="19"/>
      <c r="G14" s="72"/>
      <c r="H14" s="72" t="s">
        <v>658</v>
      </c>
      <c r="I14" s="362" t="s">
        <v>9</v>
      </c>
      <c r="J14" s="363" t="s">
        <v>622</v>
      </c>
      <c r="K14" s="363" t="s">
        <v>623</v>
      </c>
      <c r="L14" s="364" t="s">
        <v>626</v>
      </c>
      <c r="M14" s="361"/>
      <c r="N14" s="365">
        <v>0.3</v>
      </c>
      <c r="O14" s="72"/>
      <c r="P14" s="92" t="s">
        <v>658</v>
      </c>
      <c r="Q14" s="362" t="s">
        <v>9</v>
      </c>
      <c r="R14" s="363" t="s">
        <v>622</v>
      </c>
      <c r="S14" s="363" t="s">
        <v>623</v>
      </c>
      <c r="T14" s="364" t="s">
        <v>626</v>
      </c>
      <c r="U14" s="361"/>
      <c r="V14" s="365">
        <v>0.4</v>
      </c>
      <c r="Y14" s="145" t="s">
        <v>9</v>
      </c>
      <c r="Z14" s="146" t="s">
        <v>10</v>
      </c>
      <c r="AA14" s="147" t="s">
        <v>3</v>
      </c>
      <c r="AB14" s="146" t="s">
        <v>11</v>
      </c>
      <c r="AC14" s="147" t="s">
        <v>12</v>
      </c>
      <c r="AD14" s="148" t="s">
        <v>568</v>
      </c>
      <c r="AE14" s="34"/>
      <c r="AF14" s="145" t="s">
        <v>9</v>
      </c>
      <c r="AG14" s="147" t="s">
        <v>10</v>
      </c>
      <c r="AH14" s="149" t="s">
        <v>3</v>
      </c>
      <c r="AI14" s="147" t="s">
        <v>11</v>
      </c>
      <c r="AJ14" s="147" t="s">
        <v>12</v>
      </c>
      <c r="AK14" s="150" t="s">
        <v>568</v>
      </c>
    </row>
    <row r="15" spans="2:37" x14ac:dyDescent="0.25">
      <c r="B15" s="351">
        <v>1.0999999999999999E-2</v>
      </c>
      <c r="C15" s="351">
        <v>0.06</v>
      </c>
      <c r="E15" s="352">
        <v>0.22</v>
      </c>
      <c r="F15" s="352">
        <v>1.5</v>
      </c>
      <c r="H15" s="407" t="str">
        <f>LEFT(Y15,FIND(RIGHT(I15,1),Y15)-1)</f>
        <v>M0</v>
      </c>
      <c r="I15" s="405" t="s">
        <v>13</v>
      </c>
      <c r="J15" s="377">
        <v>120</v>
      </c>
      <c r="K15" s="346">
        <v>150</v>
      </c>
      <c r="L15" s="366">
        <f>IF(K15=0,0,K15-J15)</f>
        <v>30</v>
      </c>
      <c r="M15" s="349">
        <f>L15/J15</f>
        <v>0.25</v>
      </c>
      <c r="N15" s="366">
        <f>(1-$N$14)*K15</f>
        <v>105</v>
      </c>
      <c r="O15" s="6"/>
      <c r="P15" s="407" t="str">
        <f>LEFT(Q15,LEN(Q15)-1)</f>
        <v>M0MM</v>
      </c>
      <c r="Q15" s="405" t="s">
        <v>15</v>
      </c>
      <c r="R15" s="377">
        <v>155</v>
      </c>
      <c r="S15" s="346">
        <v>190</v>
      </c>
      <c r="T15" s="366">
        <f>IF(S15=0,0,S15-R15)</f>
        <v>35</v>
      </c>
      <c r="U15" s="370">
        <f>T15/R15</f>
        <v>0.22580645161290322</v>
      </c>
      <c r="V15" s="350">
        <f>(1-$V$14)*S15</f>
        <v>114</v>
      </c>
      <c r="Y15" s="129" t="s">
        <v>13</v>
      </c>
      <c r="Z15" s="151" t="s">
        <v>14</v>
      </c>
      <c r="AA15" s="152" t="str">
        <f>_xlfn.CONCAT(TEXT($B15,"#.000#"),"""","  to  ",TEXT($C15,"#.000#"),"""")</f>
        <v>.011"  to  .060"</v>
      </c>
      <c r="AB15" s="151">
        <v>50</v>
      </c>
      <c r="AC15" s="153">
        <v>1</v>
      </c>
      <c r="AD15" s="154">
        <f>$K15</f>
        <v>150</v>
      </c>
      <c r="AE15" s="34"/>
      <c r="AF15" s="129" t="s">
        <v>15</v>
      </c>
      <c r="AG15" s="152" t="s">
        <v>14</v>
      </c>
      <c r="AH15" s="735" t="str">
        <f>_xlfn.CONCAT(TEXT($E15,"#.00"),"mm","  to  ",TEXT($F15,"#.00"),"mm")</f>
        <v>.22mm  to  1.50mm</v>
      </c>
      <c r="AI15" s="152">
        <v>65</v>
      </c>
      <c r="AJ15" s="153">
        <v>1</v>
      </c>
      <c r="AK15" s="154">
        <f>$S15</f>
        <v>190</v>
      </c>
    </row>
    <row r="16" spans="2:37" x14ac:dyDescent="0.25">
      <c r="B16" s="351">
        <v>1.0999999999999999E-2</v>
      </c>
      <c r="C16" s="351">
        <v>0.06</v>
      </c>
      <c r="E16" s="352">
        <v>0.22</v>
      </c>
      <c r="F16" s="352">
        <v>1.5</v>
      </c>
      <c r="H16" s="407" t="str">
        <f>LEFT(Y16,FIND(RIGHT(I16,1),Y16)-1)</f>
        <v/>
      </c>
      <c r="I16" s="405" t="s">
        <v>16</v>
      </c>
      <c r="J16" s="378">
        <v>120</v>
      </c>
      <c r="K16" s="346">
        <v>150</v>
      </c>
      <c r="L16" s="367">
        <f t="shared" ref="L16:L50" si="0">IF(K16=0,0,K16-J16)</f>
        <v>30</v>
      </c>
      <c r="M16" s="349">
        <f t="shared" ref="M16:M50" si="1">L16/J16</f>
        <v>0.25</v>
      </c>
      <c r="N16" s="367">
        <f>(1-$N$14)*K16</f>
        <v>105</v>
      </c>
      <c r="O16" s="6"/>
      <c r="P16" s="407"/>
      <c r="Q16" s="405" t="s">
        <v>18</v>
      </c>
      <c r="R16" s="378">
        <v>155</v>
      </c>
      <c r="S16" s="346">
        <v>190</v>
      </c>
      <c r="T16" s="367">
        <f t="shared" ref="T16:T50" si="2">IF(S16=0,0,S16-R16)</f>
        <v>35</v>
      </c>
      <c r="U16" s="371">
        <f t="shared" ref="U16:U50" si="3">T16/R16</f>
        <v>0.22580645161290322</v>
      </c>
      <c r="V16" s="350">
        <f t="shared" ref="V16:V50" si="4">(1-$V$14)*S16</f>
        <v>114</v>
      </c>
      <c r="Y16" s="129" t="s">
        <v>16</v>
      </c>
      <c r="Z16" s="151" t="s">
        <v>17</v>
      </c>
      <c r="AA16" s="152" t="str">
        <f t="shared" ref="AA16:AA50" si="5">_xlfn.CONCAT(TEXT($B16,"#.000#"),"""","  to  ",TEXT($C16,"#.000#"),"""")</f>
        <v>.011"  to  .060"</v>
      </c>
      <c r="AB16" s="151">
        <v>50</v>
      </c>
      <c r="AC16" s="153">
        <v>1</v>
      </c>
      <c r="AD16" s="155">
        <f t="shared" ref="AD16:AD50" si="6">$K16</f>
        <v>150</v>
      </c>
      <c r="AE16" s="34"/>
      <c r="AF16" s="129" t="s">
        <v>18</v>
      </c>
      <c r="AG16" s="152" t="s">
        <v>17</v>
      </c>
      <c r="AH16" s="152" t="str">
        <f t="shared" ref="AH16:AH50" si="7">_xlfn.CONCAT(TEXT($E16,"#.00"),"mm","  to  ",TEXT($F16,"#.00"),"mm")</f>
        <v>.22mm  to  1.50mm</v>
      </c>
      <c r="AI16" s="152">
        <v>65</v>
      </c>
      <c r="AJ16" s="153">
        <v>1</v>
      </c>
      <c r="AK16" s="155">
        <f t="shared" ref="AK16:AK50" si="8">$S16</f>
        <v>190</v>
      </c>
    </row>
    <row r="17" spans="2:37" x14ac:dyDescent="0.25">
      <c r="B17" s="351">
        <v>1.15E-2</v>
      </c>
      <c r="C17" s="351">
        <v>6.0499999999999998E-2</v>
      </c>
      <c r="E17" s="352">
        <v>0.23</v>
      </c>
      <c r="F17" s="352">
        <v>1.51</v>
      </c>
      <c r="H17" s="407" t="str">
        <f>LEFT(Y17,FIND(RIGHT(I17,1),Y17)-1)</f>
        <v>M05</v>
      </c>
      <c r="I17" s="353" t="s">
        <v>19</v>
      </c>
      <c r="J17" s="379">
        <v>130</v>
      </c>
      <c r="K17" s="354">
        <v>160</v>
      </c>
      <c r="L17" s="368">
        <f t="shared" si="0"/>
        <v>30</v>
      </c>
      <c r="M17" s="356">
        <f t="shared" si="1"/>
        <v>0.23076923076923078</v>
      </c>
      <c r="N17" s="368">
        <f t="shared" ref="N17:N50" si="9">(1-$N$14)*K17</f>
        <v>112</v>
      </c>
      <c r="O17" s="6"/>
      <c r="P17" s="407" t="str">
        <f>LEFT(Q17,LEN(Q17)-1)</f>
        <v>M01MM</v>
      </c>
      <c r="Q17" s="353" t="s">
        <v>20</v>
      </c>
      <c r="R17" s="379">
        <v>165</v>
      </c>
      <c r="S17" s="354">
        <v>200</v>
      </c>
      <c r="T17" s="368">
        <f t="shared" si="2"/>
        <v>35</v>
      </c>
      <c r="U17" s="372">
        <f t="shared" si="3"/>
        <v>0.21212121212121213</v>
      </c>
      <c r="V17" s="355">
        <f t="shared" si="4"/>
        <v>120</v>
      </c>
      <c r="Y17" s="383" t="s">
        <v>19</v>
      </c>
      <c r="Z17" s="384" t="s">
        <v>14</v>
      </c>
      <c r="AA17" s="384" t="str">
        <f t="shared" si="5"/>
        <v>.0115"  to  .0605"</v>
      </c>
      <c r="AB17" s="384">
        <v>50</v>
      </c>
      <c r="AC17" s="158">
        <v>1</v>
      </c>
      <c r="AD17" s="387">
        <f t="shared" si="6"/>
        <v>160</v>
      </c>
      <c r="AE17" s="34"/>
      <c r="AF17" s="383" t="s">
        <v>20</v>
      </c>
      <c r="AG17" s="384" t="s">
        <v>14</v>
      </c>
      <c r="AH17" s="384" t="str">
        <f t="shared" si="7"/>
        <v>.23mm  to  1.51mm</v>
      </c>
      <c r="AI17" s="384">
        <v>65</v>
      </c>
      <c r="AJ17" s="158">
        <v>1</v>
      </c>
      <c r="AK17" s="387">
        <f t="shared" si="8"/>
        <v>200</v>
      </c>
    </row>
    <row r="18" spans="2:37" x14ac:dyDescent="0.25">
      <c r="B18" s="351">
        <v>1.15E-2</v>
      </c>
      <c r="C18" s="351">
        <v>6.0499999999999998E-2</v>
      </c>
      <c r="E18" s="352">
        <v>0.23</v>
      </c>
      <c r="F18" s="352">
        <v>1.51</v>
      </c>
      <c r="H18" s="407" t="str">
        <f>LEFT(Y18,FIND(RIGHT(I18,1),Y18)-1)</f>
        <v/>
      </c>
      <c r="I18" s="357" t="s">
        <v>21</v>
      </c>
      <c r="J18" s="380">
        <v>130</v>
      </c>
      <c r="K18" s="358">
        <v>160</v>
      </c>
      <c r="L18" s="369">
        <f t="shared" si="0"/>
        <v>30</v>
      </c>
      <c r="M18" s="360">
        <f t="shared" si="1"/>
        <v>0.23076923076923078</v>
      </c>
      <c r="N18" s="369">
        <f t="shared" si="9"/>
        <v>112</v>
      </c>
      <c r="O18" s="6"/>
      <c r="P18" s="407"/>
      <c r="Q18" s="357" t="s">
        <v>22</v>
      </c>
      <c r="R18" s="380">
        <v>165</v>
      </c>
      <c r="S18" s="358">
        <v>200</v>
      </c>
      <c r="T18" s="369">
        <f t="shared" si="2"/>
        <v>35</v>
      </c>
      <c r="U18" s="373">
        <f t="shared" si="3"/>
        <v>0.21212121212121213</v>
      </c>
      <c r="V18" s="359">
        <f t="shared" si="4"/>
        <v>120</v>
      </c>
      <c r="Y18" s="160" t="s">
        <v>21</v>
      </c>
      <c r="Z18" s="161" t="s">
        <v>17</v>
      </c>
      <c r="AA18" s="162" t="str">
        <f t="shared" si="5"/>
        <v>.0115"  to  .0605"</v>
      </c>
      <c r="AB18" s="161">
        <v>50</v>
      </c>
      <c r="AC18" s="163">
        <v>1</v>
      </c>
      <c r="AD18" s="164">
        <f t="shared" si="6"/>
        <v>160</v>
      </c>
      <c r="AE18" s="34"/>
      <c r="AF18" s="160" t="s">
        <v>22</v>
      </c>
      <c r="AG18" s="162" t="s">
        <v>17</v>
      </c>
      <c r="AH18" s="162" t="str">
        <f t="shared" si="7"/>
        <v>.23mm  to  1.51mm</v>
      </c>
      <c r="AI18" s="162">
        <v>65</v>
      </c>
      <c r="AJ18" s="163">
        <v>1</v>
      </c>
      <c r="AK18" s="164">
        <f t="shared" si="8"/>
        <v>200</v>
      </c>
    </row>
    <row r="19" spans="2:37" x14ac:dyDescent="0.25">
      <c r="B19" s="351">
        <v>1.0999999999999999E-2</v>
      </c>
      <c r="C19" s="351">
        <v>0.25</v>
      </c>
      <c r="E19" s="352">
        <v>1.52</v>
      </c>
      <c r="F19" s="352">
        <v>7.7</v>
      </c>
      <c r="H19" s="407" t="str">
        <f>LEFT(Y19,FIND(RIGHT(I19,1),Y19)-1)</f>
        <v>C10</v>
      </c>
      <c r="I19" s="405" t="s">
        <v>23</v>
      </c>
      <c r="J19" s="378">
        <v>370</v>
      </c>
      <c r="K19" s="346">
        <v>460</v>
      </c>
      <c r="L19" s="367">
        <f t="shared" si="0"/>
        <v>90</v>
      </c>
      <c r="M19" s="349">
        <f t="shared" si="1"/>
        <v>0.24324324324324326</v>
      </c>
      <c r="N19" s="367">
        <f t="shared" si="9"/>
        <v>322</v>
      </c>
      <c r="O19" s="6"/>
      <c r="P19" s="407" t="str">
        <f>LEFT(Q19,LEN(Q19)-1)</f>
        <v>M1MM</v>
      </c>
      <c r="Q19" s="405" t="s">
        <v>24</v>
      </c>
      <c r="R19" s="378">
        <v>550</v>
      </c>
      <c r="S19" s="346">
        <v>670</v>
      </c>
      <c r="T19" s="367">
        <f t="shared" si="2"/>
        <v>120</v>
      </c>
      <c r="U19" s="371">
        <f t="shared" si="3"/>
        <v>0.21818181818181817</v>
      </c>
      <c r="V19" s="350">
        <f t="shared" si="4"/>
        <v>402</v>
      </c>
      <c r="Y19" s="129" t="s">
        <v>23</v>
      </c>
      <c r="Z19" s="151" t="s">
        <v>14</v>
      </c>
      <c r="AA19" s="152" t="str">
        <f t="shared" si="5"/>
        <v>.011"  to  .250"</v>
      </c>
      <c r="AB19" s="151">
        <v>240</v>
      </c>
      <c r="AC19" s="153">
        <v>7</v>
      </c>
      <c r="AD19" s="155">
        <f t="shared" si="6"/>
        <v>460</v>
      </c>
      <c r="AE19" s="34"/>
      <c r="AF19" s="129" t="s">
        <v>24</v>
      </c>
      <c r="AG19" s="152" t="s">
        <v>14</v>
      </c>
      <c r="AH19" s="152" t="str">
        <f t="shared" si="7"/>
        <v>1.52mm  to  7.70mm</v>
      </c>
      <c r="AI19" s="152">
        <v>310</v>
      </c>
      <c r="AJ19" s="153">
        <v>10</v>
      </c>
      <c r="AK19" s="155">
        <f t="shared" si="8"/>
        <v>670</v>
      </c>
    </row>
    <row r="20" spans="2:37" x14ac:dyDescent="0.25">
      <c r="B20" s="351">
        <v>1.0999999999999999E-2</v>
      </c>
      <c r="C20" s="351">
        <v>0.25</v>
      </c>
      <c r="E20" s="352">
        <v>1.52</v>
      </c>
      <c r="F20" s="352">
        <v>7.7</v>
      </c>
      <c r="H20" s="407"/>
      <c r="I20" s="405" t="s">
        <v>25</v>
      </c>
      <c r="J20" s="378">
        <v>370</v>
      </c>
      <c r="K20" s="346">
        <v>460</v>
      </c>
      <c r="L20" s="367">
        <f t="shared" si="0"/>
        <v>90</v>
      </c>
      <c r="M20" s="349">
        <f t="shared" si="1"/>
        <v>0.24324324324324326</v>
      </c>
      <c r="N20" s="367">
        <f t="shared" si="9"/>
        <v>322</v>
      </c>
      <c r="O20" s="6"/>
      <c r="P20" s="407"/>
      <c r="Q20" s="6" t="s">
        <v>26</v>
      </c>
      <c r="R20" s="378">
        <v>550</v>
      </c>
      <c r="S20" s="346">
        <v>670</v>
      </c>
      <c r="T20" s="367">
        <f t="shared" si="2"/>
        <v>120</v>
      </c>
      <c r="U20" s="371">
        <f t="shared" si="3"/>
        <v>0.21818181818181817</v>
      </c>
      <c r="V20" s="350">
        <f t="shared" si="4"/>
        <v>402</v>
      </c>
      <c r="Y20" s="129" t="s">
        <v>25</v>
      </c>
      <c r="Z20" s="151" t="s">
        <v>17</v>
      </c>
      <c r="AA20" s="152" t="str">
        <f t="shared" si="5"/>
        <v>.011"  to  .250"</v>
      </c>
      <c r="AB20" s="151">
        <v>240</v>
      </c>
      <c r="AC20" s="153">
        <v>7</v>
      </c>
      <c r="AD20" s="155">
        <f t="shared" si="6"/>
        <v>460</v>
      </c>
      <c r="AE20" s="34"/>
      <c r="AF20" s="129" t="s">
        <v>26</v>
      </c>
      <c r="AG20" s="152" t="s">
        <v>17</v>
      </c>
      <c r="AH20" s="152" t="str">
        <f t="shared" si="7"/>
        <v>1.52mm  to  7.70mm</v>
      </c>
      <c r="AI20" s="152">
        <v>310</v>
      </c>
      <c r="AJ20" s="153">
        <v>10</v>
      </c>
      <c r="AK20" s="155">
        <f t="shared" si="8"/>
        <v>670</v>
      </c>
    </row>
    <row r="21" spans="2:37" x14ac:dyDescent="0.25">
      <c r="B21" s="351">
        <v>1.15E-2</v>
      </c>
      <c r="C21" s="351">
        <v>0.2505</v>
      </c>
      <c r="E21" s="352">
        <v>1.53</v>
      </c>
      <c r="F21" s="352">
        <v>7.71</v>
      </c>
      <c r="H21" s="407" t="str">
        <f>LEFT(Y21,FIND(RIGHT(I21,1),Y21)-1)</f>
        <v>C105</v>
      </c>
      <c r="I21" s="353" t="s">
        <v>27</v>
      </c>
      <c r="J21" s="379">
        <v>375</v>
      </c>
      <c r="K21" s="354">
        <v>470</v>
      </c>
      <c r="L21" s="368">
        <f t="shared" si="0"/>
        <v>95</v>
      </c>
      <c r="M21" s="356">
        <f t="shared" si="1"/>
        <v>0.25333333333333335</v>
      </c>
      <c r="N21" s="368">
        <f t="shared" si="9"/>
        <v>329</v>
      </c>
      <c r="O21" s="6"/>
      <c r="P21" s="407" t="str">
        <f>LEFT(Q21,LEN(Q21)-1)</f>
        <v>M11MM</v>
      </c>
      <c r="Q21" s="353" t="s">
        <v>28</v>
      </c>
      <c r="R21" s="379">
        <v>555</v>
      </c>
      <c r="S21" s="354">
        <v>680</v>
      </c>
      <c r="T21" s="368">
        <f t="shared" si="2"/>
        <v>125</v>
      </c>
      <c r="U21" s="372">
        <f t="shared" si="3"/>
        <v>0.22522522522522523</v>
      </c>
      <c r="V21" s="355">
        <f t="shared" si="4"/>
        <v>408</v>
      </c>
      <c r="Y21" s="383" t="s">
        <v>27</v>
      </c>
      <c r="Z21" s="384" t="s">
        <v>14</v>
      </c>
      <c r="AA21" s="384" t="str">
        <f t="shared" si="5"/>
        <v>.0115"  to  .2505"</v>
      </c>
      <c r="AB21" s="384">
        <v>240</v>
      </c>
      <c r="AC21" s="158">
        <v>7</v>
      </c>
      <c r="AD21" s="387">
        <f t="shared" si="6"/>
        <v>470</v>
      </c>
      <c r="AE21" s="34"/>
      <c r="AF21" s="383" t="s">
        <v>28</v>
      </c>
      <c r="AG21" s="384" t="s">
        <v>14</v>
      </c>
      <c r="AH21" s="384" t="str">
        <f t="shared" si="7"/>
        <v>1.53mm  to  7.71mm</v>
      </c>
      <c r="AI21" s="384">
        <v>310</v>
      </c>
      <c r="AJ21" s="158">
        <v>10</v>
      </c>
      <c r="AK21" s="387">
        <f t="shared" si="8"/>
        <v>680</v>
      </c>
    </row>
    <row r="22" spans="2:37" x14ac:dyDescent="0.25">
      <c r="B22" s="351">
        <v>1.15E-2</v>
      </c>
      <c r="C22" s="351">
        <v>0.2505</v>
      </c>
      <c r="E22" s="352">
        <v>1.53</v>
      </c>
      <c r="F22" s="352">
        <v>7.71</v>
      </c>
      <c r="H22" s="407"/>
      <c r="I22" s="357" t="s">
        <v>29</v>
      </c>
      <c r="J22" s="380">
        <v>375</v>
      </c>
      <c r="K22" s="358">
        <v>470</v>
      </c>
      <c r="L22" s="369">
        <f t="shared" si="0"/>
        <v>95</v>
      </c>
      <c r="M22" s="360">
        <f t="shared" si="1"/>
        <v>0.25333333333333335</v>
      </c>
      <c r="N22" s="369">
        <f t="shared" si="9"/>
        <v>329</v>
      </c>
      <c r="O22" s="6"/>
      <c r="P22" s="407"/>
      <c r="Q22" s="357" t="s">
        <v>30</v>
      </c>
      <c r="R22" s="380">
        <v>555</v>
      </c>
      <c r="S22" s="358">
        <v>680</v>
      </c>
      <c r="T22" s="369">
        <f t="shared" si="2"/>
        <v>125</v>
      </c>
      <c r="U22" s="373">
        <f t="shared" si="3"/>
        <v>0.22522522522522523</v>
      </c>
      <c r="V22" s="359">
        <f t="shared" si="4"/>
        <v>408</v>
      </c>
      <c r="Y22" s="160" t="s">
        <v>29</v>
      </c>
      <c r="Z22" s="161" t="s">
        <v>17</v>
      </c>
      <c r="AA22" s="162" t="str">
        <f t="shared" si="5"/>
        <v>.0115"  to  .2505"</v>
      </c>
      <c r="AB22" s="161">
        <v>240</v>
      </c>
      <c r="AC22" s="163">
        <v>7</v>
      </c>
      <c r="AD22" s="164">
        <f t="shared" si="6"/>
        <v>470</v>
      </c>
      <c r="AE22" s="34"/>
      <c r="AF22" s="160" t="s">
        <v>30</v>
      </c>
      <c r="AG22" s="162" t="s">
        <v>17</v>
      </c>
      <c r="AH22" s="162" t="str">
        <f t="shared" si="7"/>
        <v>1.53mm  to  7.71mm</v>
      </c>
      <c r="AI22" s="162">
        <v>310</v>
      </c>
      <c r="AJ22" s="163">
        <v>10</v>
      </c>
      <c r="AK22" s="164">
        <f t="shared" si="8"/>
        <v>680</v>
      </c>
    </row>
    <row r="23" spans="2:37" x14ac:dyDescent="0.25">
      <c r="B23" s="351">
        <v>6.0999999999999999E-2</v>
      </c>
      <c r="C23" s="351">
        <v>0.25</v>
      </c>
      <c r="E23" s="352">
        <v>7.72</v>
      </c>
      <c r="F23" s="352">
        <v>12.7</v>
      </c>
      <c r="H23" s="407" t="str">
        <f t="shared" ref="H23:H50" si="10">LEFT(Y23,FIND(RIGHT(I23,1),Y23)-1)</f>
        <v>M1</v>
      </c>
      <c r="I23" s="405" t="s">
        <v>31</v>
      </c>
      <c r="J23" s="378">
        <v>270</v>
      </c>
      <c r="K23" s="346">
        <v>330</v>
      </c>
      <c r="L23" s="367">
        <f t="shared" si="0"/>
        <v>60</v>
      </c>
      <c r="M23" s="349">
        <f t="shared" si="1"/>
        <v>0.22222222222222221</v>
      </c>
      <c r="N23" s="367">
        <f t="shared" si="9"/>
        <v>230.99999999999997</v>
      </c>
      <c r="O23" s="6"/>
      <c r="P23" s="407" t="str">
        <f>LEFT(Q23,LEN(Q23)-1)</f>
        <v>M2MM</v>
      </c>
      <c r="Q23" s="6" t="s">
        <v>32</v>
      </c>
      <c r="R23" s="378">
        <v>590</v>
      </c>
      <c r="S23" s="346">
        <v>710</v>
      </c>
      <c r="T23" s="367">
        <f t="shared" si="2"/>
        <v>120</v>
      </c>
      <c r="U23" s="371">
        <f t="shared" si="3"/>
        <v>0.20338983050847459</v>
      </c>
      <c r="V23" s="350">
        <f t="shared" si="4"/>
        <v>426</v>
      </c>
      <c r="Y23" s="129" t="s">
        <v>31</v>
      </c>
      <c r="Z23" s="151" t="s">
        <v>14</v>
      </c>
      <c r="AA23" s="152" t="str">
        <f t="shared" si="5"/>
        <v>.061"  to  .250"</v>
      </c>
      <c r="AB23" s="151">
        <v>190</v>
      </c>
      <c r="AC23" s="153">
        <v>7</v>
      </c>
      <c r="AD23" s="155">
        <f t="shared" si="6"/>
        <v>330</v>
      </c>
      <c r="AE23" s="34"/>
      <c r="AF23" s="129" t="s">
        <v>32</v>
      </c>
      <c r="AG23" s="152" t="s">
        <v>14</v>
      </c>
      <c r="AH23" s="152" t="str">
        <f t="shared" si="7"/>
        <v>7.72mm  to  12.70mm</v>
      </c>
      <c r="AI23" s="152">
        <v>250</v>
      </c>
      <c r="AJ23" s="153">
        <v>25</v>
      </c>
      <c r="AK23" s="155">
        <f t="shared" si="8"/>
        <v>710</v>
      </c>
    </row>
    <row r="24" spans="2:37" x14ac:dyDescent="0.25">
      <c r="B24" s="351">
        <v>6.0999999999999999E-2</v>
      </c>
      <c r="C24" s="351">
        <v>0.25</v>
      </c>
      <c r="E24" s="352">
        <v>7.72</v>
      </c>
      <c r="F24" s="352">
        <v>12.7</v>
      </c>
      <c r="H24" s="407" t="str">
        <f t="shared" si="10"/>
        <v/>
      </c>
      <c r="I24" s="405" t="s">
        <v>33</v>
      </c>
      <c r="J24" s="378">
        <v>270</v>
      </c>
      <c r="K24" s="346">
        <v>330</v>
      </c>
      <c r="L24" s="367">
        <f t="shared" si="0"/>
        <v>60</v>
      </c>
      <c r="M24" s="349">
        <f t="shared" si="1"/>
        <v>0.22222222222222221</v>
      </c>
      <c r="N24" s="367">
        <f t="shared" si="9"/>
        <v>230.99999999999997</v>
      </c>
      <c r="O24" s="6"/>
      <c r="P24" s="407"/>
      <c r="Q24" s="6" t="s">
        <v>34</v>
      </c>
      <c r="R24" s="378">
        <v>590</v>
      </c>
      <c r="S24" s="346">
        <v>710</v>
      </c>
      <c r="T24" s="367">
        <f t="shared" si="2"/>
        <v>120</v>
      </c>
      <c r="U24" s="371">
        <f t="shared" si="3"/>
        <v>0.20338983050847459</v>
      </c>
      <c r="V24" s="350">
        <f t="shared" si="4"/>
        <v>426</v>
      </c>
      <c r="Y24" s="129" t="s">
        <v>33</v>
      </c>
      <c r="Z24" s="151" t="s">
        <v>17</v>
      </c>
      <c r="AA24" s="152" t="str">
        <f t="shared" si="5"/>
        <v>.061"  to  .250"</v>
      </c>
      <c r="AB24" s="151">
        <v>190</v>
      </c>
      <c r="AC24" s="153">
        <v>7</v>
      </c>
      <c r="AD24" s="155">
        <f t="shared" si="6"/>
        <v>330</v>
      </c>
      <c r="AE24" s="34"/>
      <c r="AF24" s="129" t="s">
        <v>34</v>
      </c>
      <c r="AG24" s="152" t="s">
        <v>17</v>
      </c>
      <c r="AH24" s="152" t="str">
        <f t="shared" si="7"/>
        <v>7.72mm  to  12.70mm</v>
      </c>
      <c r="AI24" s="152">
        <v>250</v>
      </c>
      <c r="AJ24" s="153">
        <v>25</v>
      </c>
      <c r="AK24" s="155">
        <f t="shared" si="8"/>
        <v>710</v>
      </c>
    </row>
    <row r="25" spans="2:37" x14ac:dyDescent="0.25">
      <c r="B25" s="351">
        <v>6.1499999999999999E-2</v>
      </c>
      <c r="C25" s="351">
        <v>0.2505</v>
      </c>
      <c r="E25" s="352">
        <v>7.73</v>
      </c>
      <c r="F25" s="352">
        <v>12.71</v>
      </c>
      <c r="H25" s="407" t="str">
        <f t="shared" si="10"/>
        <v>M15</v>
      </c>
      <c r="I25" s="353" t="s">
        <v>35</v>
      </c>
      <c r="J25" s="379">
        <v>275</v>
      </c>
      <c r="K25" s="354">
        <v>340</v>
      </c>
      <c r="L25" s="368">
        <f t="shared" si="0"/>
        <v>65</v>
      </c>
      <c r="M25" s="356">
        <f t="shared" si="1"/>
        <v>0.23636363636363636</v>
      </c>
      <c r="N25" s="368">
        <f t="shared" si="9"/>
        <v>237.99999999999997</v>
      </c>
      <c r="O25" s="6"/>
      <c r="P25" s="407" t="str">
        <f>LEFT(Q25,LEN(Q25)-1)</f>
        <v>M21MM</v>
      </c>
      <c r="Q25" s="353" t="s">
        <v>36</v>
      </c>
      <c r="R25" s="379">
        <v>595</v>
      </c>
      <c r="S25" s="354">
        <v>720</v>
      </c>
      <c r="T25" s="368">
        <f t="shared" si="2"/>
        <v>125</v>
      </c>
      <c r="U25" s="372">
        <f t="shared" si="3"/>
        <v>0.21008403361344538</v>
      </c>
      <c r="V25" s="355">
        <f t="shared" si="4"/>
        <v>432</v>
      </c>
      <c r="Y25" s="383" t="s">
        <v>35</v>
      </c>
      <c r="Z25" s="384" t="s">
        <v>14</v>
      </c>
      <c r="AA25" s="384" t="str">
        <f t="shared" si="5"/>
        <v>.0615"  to  .2505"</v>
      </c>
      <c r="AB25" s="384">
        <v>190</v>
      </c>
      <c r="AC25" s="158">
        <v>7</v>
      </c>
      <c r="AD25" s="387">
        <f t="shared" si="6"/>
        <v>340</v>
      </c>
      <c r="AE25" s="34"/>
      <c r="AF25" s="383" t="s">
        <v>36</v>
      </c>
      <c r="AG25" s="384" t="s">
        <v>14</v>
      </c>
      <c r="AH25" s="384" t="str">
        <f t="shared" si="7"/>
        <v>7.73mm  to  12.71mm</v>
      </c>
      <c r="AI25" s="384">
        <v>250</v>
      </c>
      <c r="AJ25" s="158">
        <v>25</v>
      </c>
      <c r="AK25" s="387">
        <f t="shared" si="8"/>
        <v>720</v>
      </c>
    </row>
    <row r="26" spans="2:37" x14ac:dyDescent="0.25">
      <c r="B26" s="351">
        <v>6.1499999999999999E-2</v>
      </c>
      <c r="C26" s="351">
        <v>0.2505</v>
      </c>
      <c r="E26" s="352">
        <v>7.73</v>
      </c>
      <c r="F26" s="352">
        <v>12.71</v>
      </c>
      <c r="H26" s="407" t="str">
        <f t="shared" si="10"/>
        <v/>
      </c>
      <c r="I26" s="357" t="s">
        <v>37</v>
      </c>
      <c r="J26" s="380">
        <v>275</v>
      </c>
      <c r="K26" s="358">
        <v>340</v>
      </c>
      <c r="L26" s="369">
        <f t="shared" si="0"/>
        <v>65</v>
      </c>
      <c r="M26" s="360">
        <f t="shared" si="1"/>
        <v>0.23636363636363636</v>
      </c>
      <c r="N26" s="369">
        <f t="shared" si="9"/>
        <v>237.99999999999997</v>
      </c>
      <c r="O26" s="6"/>
      <c r="P26" s="407"/>
      <c r="Q26" s="357" t="s">
        <v>38</v>
      </c>
      <c r="R26" s="380">
        <v>595</v>
      </c>
      <c r="S26" s="358">
        <v>720</v>
      </c>
      <c r="T26" s="369">
        <f t="shared" si="2"/>
        <v>125</v>
      </c>
      <c r="U26" s="373">
        <f t="shared" si="3"/>
        <v>0.21008403361344538</v>
      </c>
      <c r="V26" s="359">
        <f t="shared" si="4"/>
        <v>432</v>
      </c>
      <c r="Y26" s="160" t="s">
        <v>37</v>
      </c>
      <c r="Z26" s="161" t="s">
        <v>17</v>
      </c>
      <c r="AA26" s="162" t="str">
        <f t="shared" si="5"/>
        <v>.0615"  to  .2505"</v>
      </c>
      <c r="AB26" s="161">
        <v>190</v>
      </c>
      <c r="AC26" s="163">
        <v>7</v>
      </c>
      <c r="AD26" s="164">
        <f t="shared" si="6"/>
        <v>340</v>
      </c>
      <c r="AE26" s="34"/>
      <c r="AF26" s="160" t="s">
        <v>38</v>
      </c>
      <c r="AG26" s="162" t="s">
        <v>17</v>
      </c>
      <c r="AH26" s="162" t="str">
        <f t="shared" si="7"/>
        <v>7.73mm  to  12.71mm</v>
      </c>
      <c r="AI26" s="162">
        <v>250</v>
      </c>
      <c r="AJ26" s="163">
        <v>25</v>
      </c>
      <c r="AK26" s="164">
        <f t="shared" si="8"/>
        <v>720</v>
      </c>
    </row>
    <row r="27" spans="2:37" x14ac:dyDescent="0.25">
      <c r="B27" s="351">
        <v>0.251</v>
      </c>
      <c r="C27" s="351">
        <v>0.5</v>
      </c>
      <c r="E27" s="352">
        <v>12.72</v>
      </c>
      <c r="F27" s="352">
        <v>15.3</v>
      </c>
      <c r="H27" s="407" t="str">
        <f t="shared" si="10"/>
        <v>M2</v>
      </c>
      <c r="I27" s="405" t="s">
        <v>39</v>
      </c>
      <c r="J27" s="378">
        <v>400</v>
      </c>
      <c r="K27" s="346">
        <v>490</v>
      </c>
      <c r="L27" s="367">
        <f t="shared" si="0"/>
        <v>90</v>
      </c>
      <c r="M27" s="349">
        <f t="shared" si="1"/>
        <v>0.22500000000000001</v>
      </c>
      <c r="N27" s="367">
        <f t="shared" si="9"/>
        <v>343</v>
      </c>
      <c r="O27" s="6"/>
      <c r="P27" s="407" t="str">
        <f>LEFT(Q27,LEN(Q27)-1)</f>
        <v>M3MM</v>
      </c>
      <c r="Q27" s="6" t="s">
        <v>40</v>
      </c>
      <c r="R27" s="378">
        <v>655</v>
      </c>
      <c r="S27" s="346">
        <v>770</v>
      </c>
      <c r="T27" s="367">
        <f t="shared" si="2"/>
        <v>115</v>
      </c>
      <c r="U27" s="371">
        <f t="shared" si="3"/>
        <v>0.17557251908396945</v>
      </c>
      <c r="V27" s="350">
        <f t="shared" si="4"/>
        <v>462</v>
      </c>
      <c r="Y27" s="129" t="s">
        <v>39</v>
      </c>
      <c r="Z27" s="151" t="s">
        <v>14</v>
      </c>
      <c r="AA27" s="152" t="str">
        <f t="shared" si="5"/>
        <v>.251"  to  .500"</v>
      </c>
      <c r="AB27" s="151">
        <v>250</v>
      </c>
      <c r="AC27" s="153">
        <v>23</v>
      </c>
      <c r="AD27" s="155">
        <f t="shared" si="6"/>
        <v>490</v>
      </c>
      <c r="AE27" s="34"/>
      <c r="AF27" s="129" t="s">
        <v>40</v>
      </c>
      <c r="AG27" s="152" t="s">
        <v>14</v>
      </c>
      <c r="AH27" s="152" t="str">
        <f t="shared" si="7"/>
        <v>12.72mm  to  15.30mm</v>
      </c>
      <c r="AI27" s="152">
        <v>130</v>
      </c>
      <c r="AJ27" s="153">
        <v>24</v>
      </c>
      <c r="AK27" s="155">
        <f t="shared" si="8"/>
        <v>770</v>
      </c>
    </row>
    <row r="28" spans="2:37" x14ac:dyDescent="0.25">
      <c r="B28" s="351">
        <v>0.251</v>
      </c>
      <c r="C28" s="351">
        <v>0.5</v>
      </c>
      <c r="E28" s="352">
        <v>12.72</v>
      </c>
      <c r="F28" s="352">
        <v>15.3</v>
      </c>
      <c r="H28" s="407" t="str">
        <f t="shared" si="10"/>
        <v/>
      </c>
      <c r="I28" s="405" t="s">
        <v>41</v>
      </c>
      <c r="J28" s="378">
        <v>400</v>
      </c>
      <c r="K28" s="346">
        <v>490</v>
      </c>
      <c r="L28" s="367">
        <f t="shared" si="0"/>
        <v>90</v>
      </c>
      <c r="M28" s="349">
        <f t="shared" si="1"/>
        <v>0.22500000000000001</v>
      </c>
      <c r="N28" s="367">
        <f t="shared" si="9"/>
        <v>343</v>
      </c>
      <c r="O28" s="6"/>
      <c r="P28" s="407"/>
      <c r="Q28" s="6" t="s">
        <v>42</v>
      </c>
      <c r="R28" s="378">
        <v>655</v>
      </c>
      <c r="S28" s="346">
        <v>770</v>
      </c>
      <c r="T28" s="367">
        <f t="shared" si="2"/>
        <v>115</v>
      </c>
      <c r="U28" s="371">
        <f t="shared" si="3"/>
        <v>0.17557251908396945</v>
      </c>
      <c r="V28" s="350">
        <f t="shared" si="4"/>
        <v>462</v>
      </c>
      <c r="Y28" s="129" t="s">
        <v>41</v>
      </c>
      <c r="Z28" s="151" t="s">
        <v>17</v>
      </c>
      <c r="AA28" s="152" t="str">
        <f t="shared" si="5"/>
        <v>.251"  to  .500"</v>
      </c>
      <c r="AB28" s="151">
        <v>250</v>
      </c>
      <c r="AC28" s="153">
        <v>23</v>
      </c>
      <c r="AD28" s="155">
        <f t="shared" si="6"/>
        <v>490</v>
      </c>
      <c r="AE28" s="34"/>
      <c r="AF28" s="129" t="s">
        <v>42</v>
      </c>
      <c r="AG28" s="152" t="s">
        <v>17</v>
      </c>
      <c r="AH28" s="152" t="str">
        <f t="shared" si="7"/>
        <v>12.72mm  to  15.30mm</v>
      </c>
      <c r="AI28" s="152">
        <v>130</v>
      </c>
      <c r="AJ28" s="153">
        <v>24</v>
      </c>
      <c r="AK28" s="155">
        <f t="shared" si="8"/>
        <v>770</v>
      </c>
    </row>
    <row r="29" spans="2:37" x14ac:dyDescent="0.25">
      <c r="B29" s="351">
        <v>0.2515</v>
      </c>
      <c r="C29" s="351">
        <v>0.50049999999999994</v>
      </c>
      <c r="E29" s="352">
        <v>12.73</v>
      </c>
      <c r="F29" s="352">
        <v>15.31</v>
      </c>
      <c r="H29" s="407" t="str">
        <f t="shared" si="10"/>
        <v>M25</v>
      </c>
      <c r="I29" s="353" t="s">
        <v>43</v>
      </c>
      <c r="J29" s="379">
        <v>405</v>
      </c>
      <c r="K29" s="354">
        <v>500</v>
      </c>
      <c r="L29" s="368">
        <f t="shared" si="0"/>
        <v>95</v>
      </c>
      <c r="M29" s="356">
        <f t="shared" si="1"/>
        <v>0.23456790123456789</v>
      </c>
      <c r="N29" s="368">
        <f t="shared" si="9"/>
        <v>350</v>
      </c>
      <c r="O29" s="6"/>
      <c r="P29" s="407" t="str">
        <f>LEFT(Q29,LEN(Q29)-1)</f>
        <v>M31MM</v>
      </c>
      <c r="Q29" s="353" t="s">
        <v>44</v>
      </c>
      <c r="R29" s="379">
        <v>660</v>
      </c>
      <c r="S29" s="354">
        <v>780</v>
      </c>
      <c r="T29" s="368">
        <f t="shared" si="2"/>
        <v>120</v>
      </c>
      <c r="U29" s="372">
        <f t="shared" si="3"/>
        <v>0.18181818181818182</v>
      </c>
      <c r="V29" s="355">
        <f t="shared" si="4"/>
        <v>468</v>
      </c>
      <c r="Y29" s="383" t="s">
        <v>43</v>
      </c>
      <c r="Z29" s="384" t="s">
        <v>14</v>
      </c>
      <c r="AA29" s="384" t="str">
        <f t="shared" si="5"/>
        <v>.2515"  to  .5005"</v>
      </c>
      <c r="AB29" s="384">
        <v>250</v>
      </c>
      <c r="AC29" s="158">
        <v>23</v>
      </c>
      <c r="AD29" s="387">
        <f t="shared" si="6"/>
        <v>500</v>
      </c>
      <c r="AE29" s="34"/>
      <c r="AF29" s="383" t="s">
        <v>44</v>
      </c>
      <c r="AG29" s="384" t="s">
        <v>14</v>
      </c>
      <c r="AH29" s="384" t="str">
        <f t="shared" si="7"/>
        <v>12.73mm  to  15.31mm</v>
      </c>
      <c r="AI29" s="384">
        <v>130</v>
      </c>
      <c r="AJ29" s="158">
        <v>24</v>
      </c>
      <c r="AK29" s="387">
        <f t="shared" si="8"/>
        <v>780</v>
      </c>
    </row>
    <row r="30" spans="2:37" x14ac:dyDescent="0.25">
      <c r="B30" s="351">
        <v>0.2515</v>
      </c>
      <c r="C30" s="351">
        <v>0.50049999999999994</v>
      </c>
      <c r="E30" s="352">
        <v>12.73</v>
      </c>
      <c r="F30" s="352">
        <v>15.31</v>
      </c>
      <c r="H30" s="407" t="str">
        <f t="shared" si="10"/>
        <v/>
      </c>
      <c r="I30" s="357" t="s">
        <v>45</v>
      </c>
      <c r="J30" s="380">
        <v>405</v>
      </c>
      <c r="K30" s="358">
        <v>500</v>
      </c>
      <c r="L30" s="369">
        <f t="shared" si="0"/>
        <v>95</v>
      </c>
      <c r="M30" s="360">
        <f t="shared" si="1"/>
        <v>0.23456790123456789</v>
      </c>
      <c r="N30" s="369">
        <f t="shared" si="9"/>
        <v>350</v>
      </c>
      <c r="O30" s="6"/>
      <c r="P30" s="407"/>
      <c r="Q30" s="357" t="s">
        <v>46</v>
      </c>
      <c r="R30" s="380">
        <v>660</v>
      </c>
      <c r="S30" s="358">
        <v>780</v>
      </c>
      <c r="T30" s="369">
        <f t="shared" si="2"/>
        <v>120</v>
      </c>
      <c r="U30" s="373">
        <f t="shared" si="3"/>
        <v>0.18181818181818182</v>
      </c>
      <c r="V30" s="359">
        <f t="shared" si="4"/>
        <v>468</v>
      </c>
      <c r="Y30" s="160" t="s">
        <v>45</v>
      </c>
      <c r="Z30" s="161" t="s">
        <v>17</v>
      </c>
      <c r="AA30" s="162" t="str">
        <f t="shared" si="5"/>
        <v>.2515"  to  .5005"</v>
      </c>
      <c r="AB30" s="161">
        <v>250</v>
      </c>
      <c r="AC30" s="163">
        <v>23</v>
      </c>
      <c r="AD30" s="164">
        <f t="shared" si="6"/>
        <v>500</v>
      </c>
      <c r="AE30" s="34"/>
      <c r="AF30" s="160" t="s">
        <v>46</v>
      </c>
      <c r="AG30" s="162" t="s">
        <v>17</v>
      </c>
      <c r="AH30" s="162" t="str">
        <f t="shared" si="7"/>
        <v>12.73mm  to  15.31mm</v>
      </c>
      <c r="AI30" s="162">
        <v>130</v>
      </c>
      <c r="AJ30" s="163">
        <v>24</v>
      </c>
      <c r="AK30" s="164">
        <f t="shared" si="8"/>
        <v>780</v>
      </c>
    </row>
    <row r="31" spans="2:37" x14ac:dyDescent="0.25">
      <c r="B31" s="351">
        <v>0.501</v>
      </c>
      <c r="C31" s="351">
        <v>0.625</v>
      </c>
      <c r="E31" s="352">
        <v>15.32</v>
      </c>
      <c r="F31" s="352">
        <v>17.8</v>
      </c>
      <c r="H31" s="407" t="str">
        <f t="shared" si="10"/>
        <v>M3</v>
      </c>
      <c r="I31" s="6" t="s">
        <v>47</v>
      </c>
      <c r="J31" s="378">
        <v>470</v>
      </c>
      <c r="K31" s="346">
        <v>570</v>
      </c>
      <c r="L31" s="367">
        <f t="shared" si="0"/>
        <v>100</v>
      </c>
      <c r="M31" s="349">
        <f t="shared" si="1"/>
        <v>0.21276595744680851</v>
      </c>
      <c r="N31" s="367">
        <f t="shared" si="9"/>
        <v>399</v>
      </c>
      <c r="O31" s="6"/>
      <c r="P31" s="407" t="str">
        <f>LEFT(Q31,LEN(Q31)-1)</f>
        <v>M4MM</v>
      </c>
      <c r="Q31" s="6" t="s">
        <v>48</v>
      </c>
      <c r="R31" s="378">
        <v>695</v>
      </c>
      <c r="S31" s="346">
        <v>810</v>
      </c>
      <c r="T31" s="367">
        <f t="shared" si="2"/>
        <v>115</v>
      </c>
      <c r="U31" s="371">
        <f t="shared" si="3"/>
        <v>0.16546762589928057</v>
      </c>
      <c r="V31" s="350">
        <f t="shared" si="4"/>
        <v>486</v>
      </c>
      <c r="Y31" s="129" t="s">
        <v>47</v>
      </c>
      <c r="Z31" s="151" t="s">
        <v>14</v>
      </c>
      <c r="AA31" s="152" t="str">
        <f t="shared" si="5"/>
        <v>.501"  to  .625"</v>
      </c>
      <c r="AB31" s="151">
        <v>125</v>
      </c>
      <c r="AC31" s="153">
        <v>24</v>
      </c>
      <c r="AD31" s="155">
        <f t="shared" si="6"/>
        <v>570</v>
      </c>
      <c r="AE31" s="34"/>
      <c r="AF31" s="129" t="s">
        <v>48</v>
      </c>
      <c r="AG31" s="152" t="s">
        <v>14</v>
      </c>
      <c r="AH31" s="152" t="str">
        <f t="shared" si="7"/>
        <v>15.32mm  to  17.80mm</v>
      </c>
      <c r="AI31" s="152">
        <v>125</v>
      </c>
      <c r="AJ31" s="153">
        <v>30</v>
      </c>
      <c r="AK31" s="155">
        <f t="shared" si="8"/>
        <v>810</v>
      </c>
    </row>
    <row r="32" spans="2:37" x14ac:dyDescent="0.25">
      <c r="B32" s="351">
        <v>0.501</v>
      </c>
      <c r="C32" s="351">
        <v>0.625</v>
      </c>
      <c r="E32" s="352">
        <v>15.32</v>
      </c>
      <c r="F32" s="352">
        <v>17.8</v>
      </c>
      <c r="H32" s="407" t="str">
        <f t="shared" si="10"/>
        <v/>
      </c>
      <c r="I32" s="6" t="s">
        <v>49</v>
      </c>
      <c r="J32" s="378">
        <v>470</v>
      </c>
      <c r="K32" s="346">
        <v>570</v>
      </c>
      <c r="L32" s="367">
        <f t="shared" si="0"/>
        <v>100</v>
      </c>
      <c r="M32" s="349">
        <f t="shared" si="1"/>
        <v>0.21276595744680851</v>
      </c>
      <c r="N32" s="367">
        <f t="shared" si="9"/>
        <v>399</v>
      </c>
      <c r="O32" s="6"/>
      <c r="P32" s="407"/>
      <c r="Q32" s="6" t="s">
        <v>50</v>
      </c>
      <c r="R32" s="378">
        <v>695</v>
      </c>
      <c r="S32" s="346">
        <v>810</v>
      </c>
      <c r="T32" s="367">
        <f t="shared" si="2"/>
        <v>115</v>
      </c>
      <c r="U32" s="371">
        <f t="shared" si="3"/>
        <v>0.16546762589928057</v>
      </c>
      <c r="V32" s="350">
        <f t="shared" si="4"/>
        <v>486</v>
      </c>
      <c r="Y32" s="129" t="s">
        <v>49</v>
      </c>
      <c r="Z32" s="151" t="s">
        <v>17</v>
      </c>
      <c r="AA32" s="152" t="str">
        <f t="shared" si="5"/>
        <v>.501"  to  .625"</v>
      </c>
      <c r="AB32" s="151">
        <v>125</v>
      </c>
      <c r="AC32" s="153">
        <v>24</v>
      </c>
      <c r="AD32" s="155">
        <f t="shared" si="6"/>
        <v>570</v>
      </c>
      <c r="AE32" s="34"/>
      <c r="AF32" s="129" t="s">
        <v>50</v>
      </c>
      <c r="AG32" s="152" t="s">
        <v>17</v>
      </c>
      <c r="AH32" s="152" t="str">
        <f t="shared" si="7"/>
        <v>15.32mm  to  17.80mm</v>
      </c>
      <c r="AI32" s="152">
        <v>125</v>
      </c>
      <c r="AJ32" s="153">
        <v>30</v>
      </c>
      <c r="AK32" s="155">
        <f t="shared" si="8"/>
        <v>810</v>
      </c>
    </row>
    <row r="33" spans="2:37" x14ac:dyDescent="0.25">
      <c r="B33" s="351">
        <v>0.50149999999999995</v>
      </c>
      <c r="C33" s="351">
        <v>0.62549999999999994</v>
      </c>
      <c r="E33" s="352">
        <v>15.33</v>
      </c>
      <c r="F33" s="352">
        <v>17.809999999999999</v>
      </c>
      <c r="H33" s="407" t="str">
        <f t="shared" si="10"/>
        <v>M35</v>
      </c>
      <c r="I33" s="353" t="s">
        <v>51</v>
      </c>
      <c r="J33" s="379">
        <v>475</v>
      </c>
      <c r="K33" s="354">
        <v>580</v>
      </c>
      <c r="L33" s="368">
        <f t="shared" si="0"/>
        <v>105</v>
      </c>
      <c r="M33" s="356">
        <f t="shared" si="1"/>
        <v>0.22105263157894736</v>
      </c>
      <c r="N33" s="368">
        <f t="shared" si="9"/>
        <v>406</v>
      </c>
      <c r="O33" s="6"/>
      <c r="P33" s="407" t="str">
        <f>LEFT(Q33,LEN(Q33)-1)</f>
        <v>M41MM</v>
      </c>
      <c r="Q33" s="353" t="s">
        <v>52</v>
      </c>
      <c r="R33" s="379">
        <v>700</v>
      </c>
      <c r="S33" s="354">
        <v>820</v>
      </c>
      <c r="T33" s="368">
        <f t="shared" si="2"/>
        <v>120</v>
      </c>
      <c r="U33" s="372">
        <f t="shared" si="3"/>
        <v>0.17142857142857143</v>
      </c>
      <c r="V33" s="355">
        <f t="shared" si="4"/>
        <v>492</v>
      </c>
      <c r="Y33" s="383" t="s">
        <v>51</v>
      </c>
      <c r="Z33" s="384" t="s">
        <v>14</v>
      </c>
      <c r="AA33" s="384" t="str">
        <f t="shared" si="5"/>
        <v>.5015"  to  .6255"</v>
      </c>
      <c r="AB33" s="384">
        <v>125</v>
      </c>
      <c r="AC33" s="158">
        <v>24</v>
      </c>
      <c r="AD33" s="387">
        <f t="shared" si="6"/>
        <v>580</v>
      </c>
      <c r="AE33" s="34"/>
      <c r="AF33" s="383" t="s">
        <v>52</v>
      </c>
      <c r="AG33" s="384" t="s">
        <v>14</v>
      </c>
      <c r="AH33" s="384" t="str">
        <f t="shared" si="7"/>
        <v>15.33mm  to  17.81mm</v>
      </c>
      <c r="AI33" s="384">
        <v>125</v>
      </c>
      <c r="AJ33" s="158">
        <v>30</v>
      </c>
      <c r="AK33" s="387">
        <f t="shared" si="8"/>
        <v>820</v>
      </c>
    </row>
    <row r="34" spans="2:37" x14ac:dyDescent="0.25">
      <c r="B34" s="351">
        <v>0.50149999999999995</v>
      </c>
      <c r="C34" s="351">
        <v>0.62549999999999994</v>
      </c>
      <c r="E34" s="352">
        <v>15.33</v>
      </c>
      <c r="F34" s="352">
        <v>17.809999999999999</v>
      </c>
      <c r="H34" s="407" t="str">
        <f t="shared" si="10"/>
        <v/>
      </c>
      <c r="I34" s="357" t="s">
        <v>53</v>
      </c>
      <c r="J34" s="380">
        <v>475</v>
      </c>
      <c r="K34" s="358">
        <v>580</v>
      </c>
      <c r="L34" s="369">
        <f t="shared" si="0"/>
        <v>105</v>
      </c>
      <c r="M34" s="360">
        <f t="shared" si="1"/>
        <v>0.22105263157894736</v>
      </c>
      <c r="N34" s="369">
        <f t="shared" si="9"/>
        <v>406</v>
      </c>
      <c r="O34" s="6"/>
      <c r="P34" s="407"/>
      <c r="Q34" s="357" t="s">
        <v>54</v>
      </c>
      <c r="R34" s="380">
        <v>700</v>
      </c>
      <c r="S34" s="358">
        <v>820</v>
      </c>
      <c r="T34" s="369">
        <f t="shared" si="2"/>
        <v>120</v>
      </c>
      <c r="U34" s="373">
        <f t="shared" si="3"/>
        <v>0.17142857142857143</v>
      </c>
      <c r="V34" s="359">
        <f t="shared" si="4"/>
        <v>492</v>
      </c>
      <c r="Y34" s="160" t="s">
        <v>53</v>
      </c>
      <c r="Z34" s="161" t="s">
        <v>17</v>
      </c>
      <c r="AA34" s="162" t="str">
        <f t="shared" si="5"/>
        <v>.5015"  to  .6255"</v>
      </c>
      <c r="AB34" s="161">
        <v>125</v>
      </c>
      <c r="AC34" s="163">
        <v>24</v>
      </c>
      <c r="AD34" s="164">
        <f t="shared" si="6"/>
        <v>580</v>
      </c>
      <c r="AE34" s="34"/>
      <c r="AF34" s="160" t="s">
        <v>54</v>
      </c>
      <c r="AG34" s="162" t="s">
        <v>17</v>
      </c>
      <c r="AH34" s="162" t="str">
        <f t="shared" si="7"/>
        <v>15.33mm  to  17.81mm</v>
      </c>
      <c r="AI34" s="162">
        <v>125</v>
      </c>
      <c r="AJ34" s="163">
        <v>30</v>
      </c>
      <c r="AK34" s="164">
        <f t="shared" si="8"/>
        <v>820</v>
      </c>
    </row>
    <row r="35" spans="2:37" x14ac:dyDescent="0.25">
      <c r="B35" s="351">
        <v>0.626</v>
      </c>
      <c r="C35" s="351">
        <v>0.75</v>
      </c>
      <c r="E35" s="352">
        <v>17.82</v>
      </c>
      <c r="F35" s="352">
        <v>20.36</v>
      </c>
      <c r="H35" s="407" t="str">
        <f t="shared" si="10"/>
        <v>M4</v>
      </c>
      <c r="I35" s="6" t="s">
        <v>55</v>
      </c>
      <c r="J35" s="378">
        <v>520</v>
      </c>
      <c r="K35" s="346">
        <v>630</v>
      </c>
      <c r="L35" s="367">
        <f t="shared" si="0"/>
        <v>110</v>
      </c>
      <c r="M35" s="349">
        <f t="shared" si="1"/>
        <v>0.21153846153846154</v>
      </c>
      <c r="N35" s="367">
        <f t="shared" si="9"/>
        <v>441</v>
      </c>
      <c r="O35" s="6"/>
      <c r="P35" s="407" t="str">
        <f>LEFT(Q35,LEN(Q35)-1)</f>
        <v>M5MM</v>
      </c>
      <c r="Q35" s="6" t="s">
        <v>56</v>
      </c>
      <c r="R35" s="378">
        <v>825</v>
      </c>
      <c r="S35" s="346">
        <v>940</v>
      </c>
      <c r="T35" s="367">
        <f t="shared" si="2"/>
        <v>115</v>
      </c>
      <c r="U35" s="371">
        <f t="shared" si="3"/>
        <v>0.1393939393939394</v>
      </c>
      <c r="V35" s="350">
        <f t="shared" si="4"/>
        <v>564</v>
      </c>
      <c r="Y35" s="129" t="s">
        <v>55</v>
      </c>
      <c r="Z35" s="151" t="s">
        <v>14</v>
      </c>
      <c r="AA35" s="152" t="str">
        <f t="shared" si="5"/>
        <v>.626"  to  .750"</v>
      </c>
      <c r="AB35" s="151">
        <v>125</v>
      </c>
      <c r="AC35" s="153">
        <v>33</v>
      </c>
      <c r="AD35" s="155">
        <f t="shared" si="6"/>
        <v>630</v>
      </c>
      <c r="AE35" s="34"/>
      <c r="AF35" s="129" t="s">
        <v>56</v>
      </c>
      <c r="AG35" s="152" t="s">
        <v>14</v>
      </c>
      <c r="AH35" s="152" t="str">
        <f t="shared" si="7"/>
        <v>17.82mm  to  20.36mm</v>
      </c>
      <c r="AI35" s="152">
        <v>128</v>
      </c>
      <c r="AJ35" s="153">
        <v>38</v>
      </c>
      <c r="AK35" s="155">
        <f t="shared" si="8"/>
        <v>940</v>
      </c>
    </row>
    <row r="36" spans="2:37" x14ac:dyDescent="0.25">
      <c r="B36" s="351">
        <v>0.626</v>
      </c>
      <c r="C36" s="351">
        <v>0.75</v>
      </c>
      <c r="E36" s="352">
        <v>17.82</v>
      </c>
      <c r="F36" s="352">
        <v>20.36</v>
      </c>
      <c r="H36" s="407" t="str">
        <f t="shared" si="10"/>
        <v/>
      </c>
      <c r="I36" s="6" t="s">
        <v>57</v>
      </c>
      <c r="J36" s="378">
        <v>520</v>
      </c>
      <c r="K36" s="346">
        <v>630</v>
      </c>
      <c r="L36" s="367">
        <f t="shared" si="0"/>
        <v>110</v>
      </c>
      <c r="M36" s="349">
        <f t="shared" si="1"/>
        <v>0.21153846153846154</v>
      </c>
      <c r="N36" s="367">
        <f t="shared" si="9"/>
        <v>441</v>
      </c>
      <c r="O36" s="6"/>
      <c r="P36" s="407"/>
      <c r="Q36" s="6" t="s">
        <v>58</v>
      </c>
      <c r="R36" s="378">
        <v>825</v>
      </c>
      <c r="S36" s="346">
        <v>940</v>
      </c>
      <c r="T36" s="367">
        <f t="shared" si="2"/>
        <v>115</v>
      </c>
      <c r="U36" s="371">
        <f t="shared" si="3"/>
        <v>0.1393939393939394</v>
      </c>
      <c r="V36" s="350">
        <f t="shared" si="4"/>
        <v>564</v>
      </c>
      <c r="Y36" s="129" t="s">
        <v>57</v>
      </c>
      <c r="Z36" s="151" t="s">
        <v>17</v>
      </c>
      <c r="AA36" s="152" t="str">
        <f t="shared" si="5"/>
        <v>.626"  to  .750"</v>
      </c>
      <c r="AB36" s="151">
        <v>125</v>
      </c>
      <c r="AC36" s="153">
        <v>33</v>
      </c>
      <c r="AD36" s="155">
        <f t="shared" si="6"/>
        <v>630</v>
      </c>
      <c r="AE36" s="34"/>
      <c r="AF36" s="129" t="s">
        <v>58</v>
      </c>
      <c r="AG36" s="152" t="s">
        <v>17</v>
      </c>
      <c r="AH36" s="152" t="str">
        <f t="shared" si="7"/>
        <v>17.82mm  to  20.36mm</v>
      </c>
      <c r="AI36" s="152">
        <v>128</v>
      </c>
      <c r="AJ36" s="153">
        <v>38</v>
      </c>
      <c r="AK36" s="155">
        <f t="shared" si="8"/>
        <v>940</v>
      </c>
    </row>
    <row r="37" spans="2:37" x14ac:dyDescent="0.25">
      <c r="B37" s="351">
        <v>0.62649999999999995</v>
      </c>
      <c r="C37" s="351">
        <v>0.75049999999999994</v>
      </c>
      <c r="E37" s="352">
        <v>17.829999999999998</v>
      </c>
      <c r="F37" s="352">
        <v>20.37</v>
      </c>
      <c r="H37" s="407" t="str">
        <f t="shared" si="10"/>
        <v>M45</v>
      </c>
      <c r="I37" s="353" t="s">
        <v>59</v>
      </c>
      <c r="J37" s="379">
        <v>525</v>
      </c>
      <c r="K37" s="354">
        <v>650</v>
      </c>
      <c r="L37" s="368">
        <f t="shared" si="0"/>
        <v>125</v>
      </c>
      <c r="M37" s="356">
        <f t="shared" si="1"/>
        <v>0.23809523809523808</v>
      </c>
      <c r="N37" s="368">
        <f t="shared" si="9"/>
        <v>454.99999999999994</v>
      </c>
      <c r="O37" s="6"/>
      <c r="P37" s="407" t="str">
        <f>LEFT(Q37,LEN(Q37)-1)</f>
        <v>M51MM</v>
      </c>
      <c r="Q37" s="353" t="s">
        <v>60</v>
      </c>
      <c r="R37" s="379">
        <v>830</v>
      </c>
      <c r="S37" s="354">
        <v>950</v>
      </c>
      <c r="T37" s="368">
        <f t="shared" si="2"/>
        <v>120</v>
      </c>
      <c r="U37" s="372">
        <f t="shared" si="3"/>
        <v>0.14457831325301204</v>
      </c>
      <c r="V37" s="355">
        <f t="shared" si="4"/>
        <v>570</v>
      </c>
      <c r="Y37" s="383" t="s">
        <v>59</v>
      </c>
      <c r="Z37" s="384" t="s">
        <v>14</v>
      </c>
      <c r="AA37" s="384" t="str">
        <f t="shared" si="5"/>
        <v>.6265"  to  .7505"</v>
      </c>
      <c r="AB37" s="384">
        <v>125</v>
      </c>
      <c r="AC37" s="158">
        <v>33</v>
      </c>
      <c r="AD37" s="387">
        <f t="shared" si="6"/>
        <v>650</v>
      </c>
      <c r="AE37" s="34"/>
      <c r="AF37" s="383" t="s">
        <v>60</v>
      </c>
      <c r="AG37" s="384" t="s">
        <v>14</v>
      </c>
      <c r="AH37" s="384" t="str">
        <f t="shared" si="7"/>
        <v>17.83mm  to  20.37mm</v>
      </c>
      <c r="AI37" s="384">
        <v>128</v>
      </c>
      <c r="AJ37" s="158">
        <v>38</v>
      </c>
      <c r="AK37" s="387">
        <f t="shared" si="8"/>
        <v>950</v>
      </c>
    </row>
    <row r="38" spans="2:37" x14ac:dyDescent="0.25">
      <c r="B38" s="351">
        <v>0.62649999999999995</v>
      </c>
      <c r="C38" s="351">
        <v>0.75049999999999994</v>
      </c>
      <c r="E38" s="352">
        <v>17.829999999999998</v>
      </c>
      <c r="F38" s="352">
        <v>20.37</v>
      </c>
      <c r="H38" s="407" t="str">
        <f t="shared" si="10"/>
        <v/>
      </c>
      <c r="I38" s="357" t="s">
        <v>61</v>
      </c>
      <c r="J38" s="380">
        <v>525</v>
      </c>
      <c r="K38" s="358">
        <v>650</v>
      </c>
      <c r="L38" s="369">
        <f t="shared" si="0"/>
        <v>125</v>
      </c>
      <c r="M38" s="360">
        <f t="shared" si="1"/>
        <v>0.23809523809523808</v>
      </c>
      <c r="N38" s="369">
        <f t="shared" si="9"/>
        <v>454.99999999999994</v>
      </c>
      <c r="O38" s="6"/>
      <c r="P38" s="407"/>
      <c r="Q38" s="357" t="s">
        <v>62</v>
      </c>
      <c r="R38" s="380">
        <v>830</v>
      </c>
      <c r="S38" s="358">
        <v>950</v>
      </c>
      <c r="T38" s="369">
        <f t="shared" si="2"/>
        <v>120</v>
      </c>
      <c r="U38" s="373">
        <f t="shared" si="3"/>
        <v>0.14457831325301204</v>
      </c>
      <c r="V38" s="359">
        <f t="shared" si="4"/>
        <v>570</v>
      </c>
      <c r="Y38" s="160" t="s">
        <v>61</v>
      </c>
      <c r="Z38" s="161" t="s">
        <v>17</v>
      </c>
      <c r="AA38" s="162" t="str">
        <f t="shared" si="5"/>
        <v>.6265"  to  .7505"</v>
      </c>
      <c r="AB38" s="161">
        <v>125</v>
      </c>
      <c r="AC38" s="163">
        <v>33</v>
      </c>
      <c r="AD38" s="164">
        <f t="shared" si="6"/>
        <v>650</v>
      </c>
      <c r="AE38" s="34"/>
      <c r="AF38" s="160" t="s">
        <v>62</v>
      </c>
      <c r="AG38" s="162" t="s">
        <v>17</v>
      </c>
      <c r="AH38" s="162" t="str">
        <f t="shared" si="7"/>
        <v>17.83mm  to  20.37mm</v>
      </c>
      <c r="AI38" s="162">
        <v>128</v>
      </c>
      <c r="AJ38" s="163">
        <v>38</v>
      </c>
      <c r="AK38" s="164">
        <f t="shared" si="8"/>
        <v>950</v>
      </c>
    </row>
    <row r="39" spans="2:37" x14ac:dyDescent="0.25">
      <c r="B39" s="351">
        <v>0.751</v>
      </c>
      <c r="C39" s="351">
        <v>0.83199999999999996</v>
      </c>
      <c r="E39" s="352">
        <v>20.38</v>
      </c>
      <c r="F39" s="352">
        <v>22.04</v>
      </c>
      <c r="H39" s="407" t="str">
        <f t="shared" si="10"/>
        <v>M5</v>
      </c>
      <c r="I39" s="6" t="s">
        <v>63</v>
      </c>
      <c r="J39" s="378">
        <v>880</v>
      </c>
      <c r="K39" s="346">
        <v>1060</v>
      </c>
      <c r="L39" s="367">
        <f t="shared" si="0"/>
        <v>180</v>
      </c>
      <c r="M39" s="349">
        <f t="shared" si="1"/>
        <v>0.20454545454545456</v>
      </c>
      <c r="N39" s="367">
        <f t="shared" si="9"/>
        <v>742</v>
      </c>
      <c r="O39" s="6"/>
      <c r="P39" s="407" t="str">
        <f>LEFT(Q39,LEN(Q39)-1)</f>
        <v>M6MM</v>
      </c>
      <c r="Q39" s="6" t="s">
        <v>64</v>
      </c>
      <c r="R39" s="378">
        <v>985</v>
      </c>
      <c r="S39" s="346">
        <v>1110</v>
      </c>
      <c r="T39" s="367">
        <f t="shared" si="2"/>
        <v>125</v>
      </c>
      <c r="U39" s="371">
        <f t="shared" si="3"/>
        <v>0.12690355329949238</v>
      </c>
      <c r="V39" s="350">
        <f t="shared" si="4"/>
        <v>666</v>
      </c>
      <c r="Y39" s="129" t="s">
        <v>63</v>
      </c>
      <c r="Z39" s="151" t="s">
        <v>14</v>
      </c>
      <c r="AA39" s="152" t="str">
        <f t="shared" si="5"/>
        <v>.751"  to  .832"</v>
      </c>
      <c r="AB39" s="151">
        <v>82</v>
      </c>
      <c r="AC39" s="153">
        <v>29</v>
      </c>
      <c r="AD39" s="155">
        <f t="shared" si="6"/>
        <v>1060</v>
      </c>
      <c r="AE39" s="34"/>
      <c r="AF39" s="129" t="s">
        <v>64</v>
      </c>
      <c r="AG39" s="152" t="s">
        <v>14</v>
      </c>
      <c r="AH39" s="152" t="str">
        <f t="shared" si="7"/>
        <v>20.38mm  to  22.04mm</v>
      </c>
      <c r="AI39" s="152">
        <v>84</v>
      </c>
      <c r="AJ39" s="153">
        <v>33</v>
      </c>
      <c r="AK39" s="155">
        <f t="shared" si="8"/>
        <v>1110</v>
      </c>
    </row>
    <row r="40" spans="2:37" x14ac:dyDescent="0.25">
      <c r="B40" s="351">
        <v>0.751</v>
      </c>
      <c r="C40" s="351">
        <v>0.83199999999999996</v>
      </c>
      <c r="E40" s="352">
        <v>20.38</v>
      </c>
      <c r="F40" s="352">
        <v>22.04</v>
      </c>
      <c r="H40" s="407" t="str">
        <f t="shared" si="10"/>
        <v/>
      </c>
      <c r="I40" s="6" t="s">
        <v>65</v>
      </c>
      <c r="J40" s="378">
        <v>880</v>
      </c>
      <c r="K40" s="346">
        <v>1060</v>
      </c>
      <c r="L40" s="367">
        <f t="shared" si="0"/>
        <v>180</v>
      </c>
      <c r="M40" s="349">
        <f t="shared" si="1"/>
        <v>0.20454545454545456</v>
      </c>
      <c r="N40" s="367">
        <f t="shared" si="9"/>
        <v>742</v>
      </c>
      <c r="O40" s="6"/>
      <c r="P40" s="407"/>
      <c r="Q40" s="6" t="s">
        <v>66</v>
      </c>
      <c r="R40" s="378">
        <v>985</v>
      </c>
      <c r="S40" s="346">
        <v>1110</v>
      </c>
      <c r="T40" s="367">
        <f t="shared" si="2"/>
        <v>125</v>
      </c>
      <c r="U40" s="371">
        <f t="shared" si="3"/>
        <v>0.12690355329949238</v>
      </c>
      <c r="V40" s="350">
        <f t="shared" si="4"/>
        <v>666</v>
      </c>
      <c r="Y40" s="129" t="s">
        <v>65</v>
      </c>
      <c r="Z40" s="151" t="s">
        <v>17</v>
      </c>
      <c r="AA40" s="152" t="str">
        <f t="shared" si="5"/>
        <v>.751"  to  .832"</v>
      </c>
      <c r="AB40" s="151">
        <v>82</v>
      </c>
      <c r="AC40" s="153">
        <v>29</v>
      </c>
      <c r="AD40" s="155">
        <f t="shared" si="6"/>
        <v>1060</v>
      </c>
      <c r="AE40" s="34"/>
      <c r="AF40" s="129" t="s">
        <v>66</v>
      </c>
      <c r="AG40" s="152" t="s">
        <v>17</v>
      </c>
      <c r="AH40" s="152" t="str">
        <f t="shared" si="7"/>
        <v>20.38mm  to  22.04mm</v>
      </c>
      <c r="AI40" s="152">
        <v>84</v>
      </c>
      <c r="AJ40" s="153">
        <v>33</v>
      </c>
      <c r="AK40" s="155">
        <f t="shared" si="8"/>
        <v>1110</v>
      </c>
    </row>
    <row r="41" spans="2:37" x14ac:dyDescent="0.25">
      <c r="B41" s="351">
        <v>0.75149999999999995</v>
      </c>
      <c r="C41" s="351">
        <v>0.83250000000000002</v>
      </c>
      <c r="E41" s="352">
        <v>20.39</v>
      </c>
      <c r="F41" s="352">
        <v>22.05</v>
      </c>
      <c r="H41" s="407" t="str">
        <f t="shared" si="10"/>
        <v>M55</v>
      </c>
      <c r="I41" s="353" t="s">
        <v>67</v>
      </c>
      <c r="J41" s="379">
        <v>900</v>
      </c>
      <c r="K41" s="354">
        <v>1080</v>
      </c>
      <c r="L41" s="368">
        <f t="shared" si="0"/>
        <v>180</v>
      </c>
      <c r="M41" s="356">
        <f t="shared" si="1"/>
        <v>0.2</v>
      </c>
      <c r="N41" s="368">
        <f t="shared" si="9"/>
        <v>756</v>
      </c>
      <c r="O41" s="6"/>
      <c r="P41" s="407" t="str">
        <f>LEFT(Q41,LEN(Q41)-1)</f>
        <v>M61MM</v>
      </c>
      <c r="Q41" s="353" t="s">
        <v>68</v>
      </c>
      <c r="R41" s="379">
        <v>990</v>
      </c>
      <c r="S41" s="354">
        <v>1130</v>
      </c>
      <c r="T41" s="368">
        <f t="shared" si="2"/>
        <v>140</v>
      </c>
      <c r="U41" s="372">
        <f t="shared" si="3"/>
        <v>0.14141414141414141</v>
      </c>
      <c r="V41" s="355">
        <f t="shared" si="4"/>
        <v>678</v>
      </c>
      <c r="Y41" s="383" t="s">
        <v>67</v>
      </c>
      <c r="Z41" s="384" t="s">
        <v>14</v>
      </c>
      <c r="AA41" s="384" t="str">
        <f t="shared" si="5"/>
        <v>.7515"  to  .8325"</v>
      </c>
      <c r="AB41" s="384">
        <v>82</v>
      </c>
      <c r="AC41" s="158">
        <v>29</v>
      </c>
      <c r="AD41" s="387">
        <f t="shared" si="6"/>
        <v>1080</v>
      </c>
      <c r="AE41" s="34"/>
      <c r="AF41" s="383" t="s">
        <v>68</v>
      </c>
      <c r="AG41" s="384" t="s">
        <v>14</v>
      </c>
      <c r="AH41" s="384" t="str">
        <f t="shared" si="7"/>
        <v>20.39mm  to  22.05mm</v>
      </c>
      <c r="AI41" s="384">
        <v>84</v>
      </c>
      <c r="AJ41" s="158">
        <v>33</v>
      </c>
      <c r="AK41" s="387">
        <f t="shared" si="8"/>
        <v>1130</v>
      </c>
    </row>
    <row r="42" spans="2:37" x14ac:dyDescent="0.25">
      <c r="B42" s="351">
        <v>0.75149999999999995</v>
      </c>
      <c r="C42" s="351">
        <v>0.83250000000000002</v>
      </c>
      <c r="E42" s="352">
        <v>20.39</v>
      </c>
      <c r="F42" s="352">
        <v>22.05</v>
      </c>
      <c r="H42" s="407" t="str">
        <f t="shared" si="10"/>
        <v/>
      </c>
      <c r="I42" s="357" t="s">
        <v>69</v>
      </c>
      <c r="J42" s="380">
        <v>900</v>
      </c>
      <c r="K42" s="358">
        <v>1080</v>
      </c>
      <c r="L42" s="369">
        <f t="shared" si="0"/>
        <v>180</v>
      </c>
      <c r="M42" s="360">
        <f t="shared" si="1"/>
        <v>0.2</v>
      </c>
      <c r="N42" s="369">
        <f t="shared" si="9"/>
        <v>756</v>
      </c>
      <c r="O42" s="6"/>
      <c r="P42" s="407"/>
      <c r="Q42" s="357" t="s">
        <v>70</v>
      </c>
      <c r="R42" s="380">
        <v>990</v>
      </c>
      <c r="S42" s="358">
        <v>1130</v>
      </c>
      <c r="T42" s="369">
        <f t="shared" si="2"/>
        <v>140</v>
      </c>
      <c r="U42" s="373">
        <f t="shared" si="3"/>
        <v>0.14141414141414141</v>
      </c>
      <c r="V42" s="359">
        <f t="shared" si="4"/>
        <v>678</v>
      </c>
      <c r="Y42" s="160" t="s">
        <v>69</v>
      </c>
      <c r="Z42" s="161" t="s">
        <v>17</v>
      </c>
      <c r="AA42" s="162" t="str">
        <f t="shared" si="5"/>
        <v>.7515"  to  .8325"</v>
      </c>
      <c r="AB42" s="161">
        <v>82</v>
      </c>
      <c r="AC42" s="163">
        <v>29</v>
      </c>
      <c r="AD42" s="164">
        <f t="shared" si="6"/>
        <v>1080</v>
      </c>
      <c r="AE42" s="34"/>
      <c r="AF42" s="160" t="s">
        <v>70</v>
      </c>
      <c r="AG42" s="162" t="s">
        <v>17</v>
      </c>
      <c r="AH42" s="162" t="str">
        <f t="shared" si="7"/>
        <v>20.39mm  to  22.05mm</v>
      </c>
      <c r="AI42" s="162">
        <v>84</v>
      </c>
      <c r="AJ42" s="163">
        <v>33</v>
      </c>
      <c r="AK42" s="164">
        <f t="shared" si="8"/>
        <v>1130</v>
      </c>
    </row>
    <row r="43" spans="2:37" x14ac:dyDescent="0.25">
      <c r="B43" s="351">
        <v>0.83299999999999996</v>
      </c>
      <c r="C43" s="351">
        <v>0.91600000000000004</v>
      </c>
      <c r="E43" s="352">
        <v>22.06</v>
      </c>
      <c r="F43" s="352">
        <v>23.72</v>
      </c>
      <c r="H43" s="407" t="str">
        <f t="shared" si="10"/>
        <v>M6</v>
      </c>
      <c r="I43" s="6" t="s">
        <v>71</v>
      </c>
      <c r="J43" s="378">
        <v>1025</v>
      </c>
      <c r="K43" s="346">
        <v>1220</v>
      </c>
      <c r="L43" s="367">
        <f t="shared" si="0"/>
        <v>195</v>
      </c>
      <c r="M43" s="349">
        <f t="shared" si="1"/>
        <v>0.19024390243902439</v>
      </c>
      <c r="N43" s="367">
        <f t="shared" si="9"/>
        <v>854</v>
      </c>
      <c r="O43" s="6"/>
      <c r="P43" s="407" t="str">
        <f>LEFT(Q43,LEN(Q43)-1)</f>
        <v>M7MM</v>
      </c>
      <c r="Q43" s="6" t="s">
        <v>72</v>
      </c>
      <c r="R43" s="378">
        <v>1135</v>
      </c>
      <c r="S43" s="346">
        <v>1250</v>
      </c>
      <c r="T43" s="367">
        <f t="shared" si="2"/>
        <v>115</v>
      </c>
      <c r="U43" s="371">
        <f t="shared" si="3"/>
        <v>0.1013215859030837</v>
      </c>
      <c r="V43" s="350">
        <f t="shared" si="4"/>
        <v>750</v>
      </c>
      <c r="Y43" s="129" t="s">
        <v>71</v>
      </c>
      <c r="Z43" s="151" t="s">
        <v>14</v>
      </c>
      <c r="AA43" s="152" t="str">
        <f t="shared" si="5"/>
        <v>.833"  to  .916"</v>
      </c>
      <c r="AB43" s="151">
        <v>84</v>
      </c>
      <c r="AC43" s="153">
        <v>35</v>
      </c>
      <c r="AD43" s="155">
        <f t="shared" si="6"/>
        <v>1220</v>
      </c>
      <c r="AE43" s="34"/>
      <c r="AF43" s="129" t="s">
        <v>72</v>
      </c>
      <c r="AG43" s="152" t="s">
        <v>14</v>
      </c>
      <c r="AH43" s="152" t="str">
        <f t="shared" si="7"/>
        <v>22.06mm  to  23.72mm</v>
      </c>
      <c r="AI43" s="152">
        <v>84</v>
      </c>
      <c r="AJ43" s="153">
        <v>36</v>
      </c>
      <c r="AK43" s="155">
        <f t="shared" si="8"/>
        <v>1250</v>
      </c>
    </row>
    <row r="44" spans="2:37" x14ac:dyDescent="0.25">
      <c r="B44" s="351">
        <v>0.83299999999999996</v>
      </c>
      <c r="C44" s="351">
        <v>0.91600000000000004</v>
      </c>
      <c r="E44" s="352">
        <v>22.06</v>
      </c>
      <c r="F44" s="352">
        <v>23.72</v>
      </c>
      <c r="H44" s="407" t="str">
        <f t="shared" si="10"/>
        <v/>
      </c>
      <c r="I44" s="6" t="s">
        <v>73</v>
      </c>
      <c r="J44" s="378">
        <v>1025</v>
      </c>
      <c r="K44" s="346">
        <v>1220</v>
      </c>
      <c r="L44" s="367">
        <f t="shared" si="0"/>
        <v>195</v>
      </c>
      <c r="M44" s="349">
        <f t="shared" si="1"/>
        <v>0.19024390243902439</v>
      </c>
      <c r="N44" s="367">
        <f t="shared" si="9"/>
        <v>854</v>
      </c>
      <c r="O44" s="6"/>
      <c r="P44" s="407"/>
      <c r="Q44" s="6" t="s">
        <v>74</v>
      </c>
      <c r="R44" s="378">
        <v>1135</v>
      </c>
      <c r="S44" s="346">
        <v>1250</v>
      </c>
      <c r="T44" s="367">
        <f t="shared" si="2"/>
        <v>115</v>
      </c>
      <c r="U44" s="371">
        <f t="shared" si="3"/>
        <v>0.1013215859030837</v>
      </c>
      <c r="V44" s="350">
        <f t="shared" si="4"/>
        <v>750</v>
      </c>
      <c r="Y44" s="129" t="s">
        <v>73</v>
      </c>
      <c r="Z44" s="151" t="s">
        <v>17</v>
      </c>
      <c r="AA44" s="152" t="str">
        <f t="shared" si="5"/>
        <v>.833"  to  .916"</v>
      </c>
      <c r="AB44" s="151">
        <v>84</v>
      </c>
      <c r="AC44" s="153">
        <v>35</v>
      </c>
      <c r="AD44" s="155">
        <f t="shared" si="6"/>
        <v>1220</v>
      </c>
      <c r="AE44" s="34"/>
      <c r="AF44" s="129" t="s">
        <v>74</v>
      </c>
      <c r="AG44" s="152" t="s">
        <v>17</v>
      </c>
      <c r="AH44" s="152" t="str">
        <f t="shared" si="7"/>
        <v>22.06mm  to  23.72mm</v>
      </c>
      <c r="AI44" s="152">
        <v>84</v>
      </c>
      <c r="AJ44" s="153">
        <v>36</v>
      </c>
      <c r="AK44" s="155">
        <f t="shared" si="8"/>
        <v>1250</v>
      </c>
    </row>
    <row r="45" spans="2:37" x14ac:dyDescent="0.25">
      <c r="B45" s="351">
        <v>0.83350000000000002</v>
      </c>
      <c r="C45" s="351">
        <v>0.91649999999999998</v>
      </c>
      <c r="E45" s="352">
        <v>22.07</v>
      </c>
      <c r="F45" s="352">
        <v>23.73</v>
      </c>
      <c r="H45" s="407" t="str">
        <f t="shared" si="10"/>
        <v>M65</v>
      </c>
      <c r="I45" s="353" t="s">
        <v>75</v>
      </c>
      <c r="J45" s="379">
        <v>1030</v>
      </c>
      <c r="K45" s="354">
        <v>1240</v>
      </c>
      <c r="L45" s="368">
        <f t="shared" si="0"/>
        <v>210</v>
      </c>
      <c r="M45" s="356">
        <f t="shared" si="1"/>
        <v>0.20388349514563106</v>
      </c>
      <c r="N45" s="368">
        <f t="shared" si="9"/>
        <v>868</v>
      </c>
      <c r="O45" s="6"/>
      <c r="P45" s="407" t="str">
        <f>LEFT(Q45,LEN(Q45)-1)</f>
        <v>M71MM</v>
      </c>
      <c r="Q45" s="353" t="s">
        <v>76</v>
      </c>
      <c r="R45" s="379">
        <v>1145</v>
      </c>
      <c r="S45" s="354">
        <v>1270</v>
      </c>
      <c r="T45" s="368">
        <f t="shared" si="2"/>
        <v>125</v>
      </c>
      <c r="U45" s="372">
        <f t="shared" si="3"/>
        <v>0.1091703056768559</v>
      </c>
      <c r="V45" s="355">
        <f t="shared" si="4"/>
        <v>762</v>
      </c>
      <c r="Y45" s="383" t="s">
        <v>75</v>
      </c>
      <c r="Z45" s="384" t="s">
        <v>14</v>
      </c>
      <c r="AA45" s="384" t="str">
        <f t="shared" si="5"/>
        <v>.8335"  to  .9165"</v>
      </c>
      <c r="AB45" s="384">
        <v>84</v>
      </c>
      <c r="AC45" s="158">
        <v>35</v>
      </c>
      <c r="AD45" s="387">
        <f t="shared" si="6"/>
        <v>1240</v>
      </c>
      <c r="AE45" s="34"/>
      <c r="AF45" s="383" t="s">
        <v>76</v>
      </c>
      <c r="AG45" s="384" t="s">
        <v>14</v>
      </c>
      <c r="AH45" s="384" t="str">
        <f t="shared" si="7"/>
        <v>22.07mm  to  23.73mm</v>
      </c>
      <c r="AI45" s="384">
        <v>84</v>
      </c>
      <c r="AJ45" s="158">
        <v>36</v>
      </c>
      <c r="AK45" s="387">
        <f t="shared" si="8"/>
        <v>1270</v>
      </c>
    </row>
    <row r="46" spans="2:37" x14ac:dyDescent="0.25">
      <c r="B46" s="351">
        <v>0.83350000000000002</v>
      </c>
      <c r="C46" s="351">
        <v>0.91649999999999998</v>
      </c>
      <c r="E46" s="352">
        <v>22.07</v>
      </c>
      <c r="F46" s="352">
        <v>23.73</v>
      </c>
      <c r="H46" s="407" t="str">
        <f t="shared" si="10"/>
        <v/>
      </c>
      <c r="I46" s="357" t="s">
        <v>77</v>
      </c>
      <c r="J46" s="380">
        <v>1030</v>
      </c>
      <c r="K46" s="358">
        <v>1240</v>
      </c>
      <c r="L46" s="369">
        <f t="shared" si="0"/>
        <v>210</v>
      </c>
      <c r="M46" s="360">
        <f t="shared" si="1"/>
        <v>0.20388349514563106</v>
      </c>
      <c r="N46" s="369">
        <f t="shared" si="9"/>
        <v>868</v>
      </c>
      <c r="O46" s="6"/>
      <c r="P46" s="407"/>
      <c r="Q46" s="357" t="s">
        <v>78</v>
      </c>
      <c r="R46" s="380">
        <v>1145</v>
      </c>
      <c r="S46" s="358">
        <v>1270</v>
      </c>
      <c r="T46" s="369">
        <f t="shared" si="2"/>
        <v>125</v>
      </c>
      <c r="U46" s="373">
        <f t="shared" si="3"/>
        <v>0.1091703056768559</v>
      </c>
      <c r="V46" s="359">
        <f t="shared" si="4"/>
        <v>762</v>
      </c>
      <c r="Y46" s="160" t="s">
        <v>77</v>
      </c>
      <c r="Z46" s="161" t="s">
        <v>17</v>
      </c>
      <c r="AA46" s="162" t="str">
        <f t="shared" si="5"/>
        <v>.8335"  to  .9165"</v>
      </c>
      <c r="AB46" s="161">
        <v>84</v>
      </c>
      <c r="AC46" s="163">
        <v>35</v>
      </c>
      <c r="AD46" s="164">
        <f t="shared" si="6"/>
        <v>1240</v>
      </c>
      <c r="AE46" s="34"/>
      <c r="AF46" s="160" t="s">
        <v>78</v>
      </c>
      <c r="AG46" s="162" t="s">
        <v>17</v>
      </c>
      <c r="AH46" s="162" t="str">
        <f t="shared" si="7"/>
        <v>22.07mm  to  23.73mm</v>
      </c>
      <c r="AI46" s="162">
        <v>84</v>
      </c>
      <c r="AJ46" s="163">
        <v>36</v>
      </c>
      <c r="AK46" s="164">
        <f t="shared" si="8"/>
        <v>1270</v>
      </c>
    </row>
    <row r="47" spans="2:37" x14ac:dyDescent="0.25">
      <c r="B47" s="351">
        <v>0.91700000000000004</v>
      </c>
      <c r="C47" s="351">
        <v>1</v>
      </c>
      <c r="E47" s="352">
        <v>23.74</v>
      </c>
      <c r="F47" s="352">
        <v>25.4</v>
      </c>
      <c r="H47" s="407" t="str">
        <f t="shared" si="10"/>
        <v>M7</v>
      </c>
      <c r="I47" s="6" t="s">
        <v>79</v>
      </c>
      <c r="J47" s="378">
        <v>1075</v>
      </c>
      <c r="K47" s="346">
        <v>1260</v>
      </c>
      <c r="L47" s="367">
        <f t="shared" si="0"/>
        <v>185</v>
      </c>
      <c r="M47" s="349">
        <f t="shared" si="1"/>
        <v>0.17209302325581396</v>
      </c>
      <c r="N47" s="367">
        <f t="shared" si="9"/>
        <v>882</v>
      </c>
      <c r="O47" s="6"/>
      <c r="P47" s="407" t="str">
        <f>LEFT(Q47,LEN(Q47)-1)</f>
        <v>M8MM</v>
      </c>
      <c r="Q47" s="6" t="s">
        <v>80</v>
      </c>
      <c r="R47" s="378">
        <v>1170</v>
      </c>
      <c r="S47" s="346">
        <v>1280</v>
      </c>
      <c r="T47" s="367">
        <f t="shared" si="2"/>
        <v>110</v>
      </c>
      <c r="U47" s="371">
        <f t="shared" si="3"/>
        <v>9.4017094017094016E-2</v>
      </c>
      <c r="V47" s="350">
        <f t="shared" si="4"/>
        <v>768</v>
      </c>
      <c r="Y47" s="129" t="s">
        <v>79</v>
      </c>
      <c r="Z47" s="151" t="s">
        <v>14</v>
      </c>
      <c r="AA47" s="152" t="str">
        <f t="shared" si="5"/>
        <v>.917"  to  1.000"</v>
      </c>
      <c r="AB47" s="151">
        <v>84</v>
      </c>
      <c r="AC47" s="153">
        <v>41</v>
      </c>
      <c r="AD47" s="155">
        <f t="shared" si="6"/>
        <v>1260</v>
      </c>
      <c r="AE47" s="34"/>
      <c r="AF47" s="129" t="s">
        <v>80</v>
      </c>
      <c r="AG47" s="152" t="s">
        <v>14</v>
      </c>
      <c r="AH47" s="152" t="str">
        <f t="shared" si="7"/>
        <v>23.74mm  to  25.40mm</v>
      </c>
      <c r="AI47" s="152">
        <v>84</v>
      </c>
      <c r="AJ47" s="153">
        <v>41</v>
      </c>
      <c r="AK47" s="155">
        <f t="shared" si="8"/>
        <v>1280</v>
      </c>
    </row>
    <row r="48" spans="2:37" x14ac:dyDescent="0.25">
      <c r="B48" s="351">
        <v>0.91700000000000004</v>
      </c>
      <c r="C48" s="351">
        <v>1</v>
      </c>
      <c r="E48" s="352">
        <v>23.74</v>
      </c>
      <c r="F48" s="352">
        <v>25.4</v>
      </c>
      <c r="H48" s="407" t="str">
        <f t="shared" si="10"/>
        <v/>
      </c>
      <c r="I48" s="6" t="s">
        <v>81</v>
      </c>
      <c r="J48" s="378">
        <v>1075</v>
      </c>
      <c r="K48" s="346">
        <v>1260</v>
      </c>
      <c r="L48" s="367">
        <f t="shared" si="0"/>
        <v>185</v>
      </c>
      <c r="M48" s="349">
        <f t="shared" si="1"/>
        <v>0.17209302325581396</v>
      </c>
      <c r="N48" s="367">
        <f t="shared" si="9"/>
        <v>882</v>
      </c>
      <c r="O48" s="6"/>
      <c r="P48" s="407"/>
      <c r="Q48" s="6" t="s">
        <v>82</v>
      </c>
      <c r="R48" s="378">
        <v>1170</v>
      </c>
      <c r="S48" s="346">
        <v>1280</v>
      </c>
      <c r="T48" s="367">
        <f t="shared" si="2"/>
        <v>110</v>
      </c>
      <c r="U48" s="371">
        <f t="shared" si="3"/>
        <v>9.4017094017094016E-2</v>
      </c>
      <c r="V48" s="350">
        <f t="shared" si="4"/>
        <v>768</v>
      </c>
      <c r="Y48" s="129" t="s">
        <v>81</v>
      </c>
      <c r="Z48" s="151" t="s">
        <v>17</v>
      </c>
      <c r="AA48" s="152" t="str">
        <f t="shared" si="5"/>
        <v>.917"  to  1.000"</v>
      </c>
      <c r="AB48" s="151">
        <v>84</v>
      </c>
      <c r="AC48" s="153">
        <v>41</v>
      </c>
      <c r="AD48" s="155">
        <f t="shared" si="6"/>
        <v>1260</v>
      </c>
      <c r="AE48" s="34"/>
      <c r="AF48" s="129" t="s">
        <v>82</v>
      </c>
      <c r="AG48" s="152" t="s">
        <v>17</v>
      </c>
      <c r="AH48" s="152" t="str">
        <f t="shared" si="7"/>
        <v>23.74mm  to  25.40mm</v>
      </c>
      <c r="AI48" s="152">
        <v>84</v>
      </c>
      <c r="AJ48" s="153">
        <v>41</v>
      </c>
      <c r="AK48" s="155">
        <f t="shared" si="8"/>
        <v>1280</v>
      </c>
    </row>
    <row r="49" spans="1:37" x14ac:dyDescent="0.25">
      <c r="B49" s="351">
        <v>0.91749999999999998</v>
      </c>
      <c r="C49" s="351">
        <v>1.0004999999999999</v>
      </c>
      <c r="E49" s="352">
        <v>23.75</v>
      </c>
      <c r="F49" s="352">
        <v>25.41</v>
      </c>
      <c r="H49" s="407" t="str">
        <f t="shared" si="10"/>
        <v>M75</v>
      </c>
      <c r="I49" s="353" t="s">
        <v>83</v>
      </c>
      <c r="J49" s="379">
        <v>1080</v>
      </c>
      <c r="K49" s="354">
        <v>1280</v>
      </c>
      <c r="L49" s="368">
        <f t="shared" si="0"/>
        <v>200</v>
      </c>
      <c r="M49" s="356">
        <f t="shared" si="1"/>
        <v>0.18518518518518517</v>
      </c>
      <c r="N49" s="368">
        <f t="shared" si="9"/>
        <v>896</v>
      </c>
      <c r="O49" s="6"/>
      <c r="P49" s="407" t="str">
        <f>LEFT(Q49,LEN(Q49)-1)</f>
        <v>M81MM</v>
      </c>
      <c r="Q49" s="353" t="s">
        <v>84</v>
      </c>
      <c r="R49" s="379">
        <v>1175</v>
      </c>
      <c r="S49" s="354">
        <v>1300</v>
      </c>
      <c r="T49" s="368">
        <f t="shared" si="2"/>
        <v>125</v>
      </c>
      <c r="U49" s="372">
        <f t="shared" si="3"/>
        <v>0.10638297872340426</v>
      </c>
      <c r="V49" s="355">
        <f t="shared" si="4"/>
        <v>780</v>
      </c>
      <c r="Y49" s="383" t="s">
        <v>83</v>
      </c>
      <c r="Z49" s="384" t="s">
        <v>14</v>
      </c>
      <c r="AA49" s="384" t="str">
        <f t="shared" si="5"/>
        <v>.9175"  to  1.0005"</v>
      </c>
      <c r="AB49" s="384">
        <v>84</v>
      </c>
      <c r="AC49" s="158">
        <v>41</v>
      </c>
      <c r="AD49" s="387">
        <f t="shared" si="6"/>
        <v>1280</v>
      </c>
      <c r="AE49" s="34"/>
      <c r="AF49" s="383" t="s">
        <v>84</v>
      </c>
      <c r="AG49" s="384" t="s">
        <v>14</v>
      </c>
      <c r="AH49" s="384" t="str">
        <f t="shared" si="7"/>
        <v>23.75mm  to  25.41mm</v>
      </c>
      <c r="AI49" s="384">
        <v>84</v>
      </c>
      <c r="AJ49" s="158">
        <v>41</v>
      </c>
      <c r="AK49" s="387">
        <f t="shared" si="8"/>
        <v>1300</v>
      </c>
    </row>
    <row r="50" spans="1:37" ht="15.75" thickBot="1" x14ac:dyDescent="0.3">
      <c r="B50" s="351">
        <v>0.91749999999999998</v>
      </c>
      <c r="C50" s="351">
        <v>1.0004999999999999</v>
      </c>
      <c r="E50" s="352">
        <v>23.75</v>
      </c>
      <c r="F50" s="352">
        <v>25.41</v>
      </c>
      <c r="H50" s="407" t="str">
        <f t="shared" si="10"/>
        <v/>
      </c>
      <c r="I50" s="357" t="s">
        <v>85</v>
      </c>
      <c r="J50" s="380">
        <v>1080</v>
      </c>
      <c r="K50" s="358">
        <v>1280</v>
      </c>
      <c r="L50" s="369">
        <f t="shared" si="0"/>
        <v>200</v>
      </c>
      <c r="M50" s="360">
        <f t="shared" si="1"/>
        <v>0.18518518518518517</v>
      </c>
      <c r="N50" s="369">
        <f t="shared" si="9"/>
        <v>896</v>
      </c>
      <c r="O50" s="6"/>
      <c r="P50" s="407"/>
      <c r="Q50" s="357" t="s">
        <v>86</v>
      </c>
      <c r="R50" s="380">
        <v>1175</v>
      </c>
      <c r="S50" s="358">
        <v>1300</v>
      </c>
      <c r="T50" s="369">
        <f t="shared" si="2"/>
        <v>125</v>
      </c>
      <c r="U50" s="373">
        <f t="shared" si="3"/>
        <v>0.10638297872340426</v>
      </c>
      <c r="V50" s="359">
        <f t="shared" si="4"/>
        <v>780</v>
      </c>
      <c r="Y50" s="166" t="s">
        <v>85</v>
      </c>
      <c r="Z50" s="167" t="s">
        <v>17</v>
      </c>
      <c r="AA50" s="168" t="str">
        <f t="shared" si="5"/>
        <v>.9175"  to  1.0005"</v>
      </c>
      <c r="AB50" s="167">
        <v>84</v>
      </c>
      <c r="AC50" s="169">
        <v>41</v>
      </c>
      <c r="AD50" s="170">
        <f t="shared" si="6"/>
        <v>1280</v>
      </c>
      <c r="AE50" s="34"/>
      <c r="AF50" s="166" t="s">
        <v>86</v>
      </c>
      <c r="AG50" s="168" t="s">
        <v>17</v>
      </c>
      <c r="AH50" s="168" t="str">
        <f t="shared" si="7"/>
        <v>23.75mm  to  25.41mm</v>
      </c>
      <c r="AI50" s="168">
        <v>84</v>
      </c>
      <c r="AJ50" s="169">
        <v>41</v>
      </c>
      <c r="AK50" s="170">
        <f t="shared" si="8"/>
        <v>1300</v>
      </c>
    </row>
    <row r="51" spans="1:37" x14ac:dyDescent="0.25">
      <c r="B51" s="4"/>
      <c r="C51" s="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</row>
    <row r="52" spans="1:37" x14ac:dyDescent="0.25">
      <c r="A52" s="46"/>
      <c r="B52" s="4"/>
      <c r="C52" s="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</row>
    <row r="53" spans="1:37" x14ac:dyDescent="0.25">
      <c r="B53" s="4"/>
      <c r="C53" s="4"/>
    </row>
    <row r="54" spans="1:37" x14ac:dyDescent="0.25">
      <c r="B54" s="4"/>
      <c r="C54" s="4"/>
    </row>
    <row r="55" spans="1:37" x14ac:dyDescent="0.25">
      <c r="B55" s="4"/>
      <c r="C55" s="4"/>
    </row>
    <row r="56" spans="1:37" x14ac:dyDescent="0.25">
      <c r="B56" s="4"/>
      <c r="C56" s="4"/>
    </row>
    <row r="57" spans="1:37" x14ac:dyDescent="0.25">
      <c r="B57" s="4"/>
      <c r="C57" s="4"/>
    </row>
    <row r="58" spans="1:37" x14ac:dyDescent="0.25">
      <c r="B58" s="4"/>
      <c r="C58" s="4"/>
    </row>
  </sheetData>
  <sheetProtection algorithmName="SHA-512" hashValue="JnkZrRSEtYyOBSjaj1yx2hQkH6ZyCnHReTCxIY6jax8o+DGtE+CE3Og2ystB+/H6f7tkW0qnd7sERm+YWHc1Cg==" saltValue="WoRkYEFcFfDLRdW62uiTUg==" spinCount="100000" sheet="1" objects="1" scenarios="1"/>
  <pageMargins left="0.25" right="0.25" top="0.75" bottom="0.75" header="0.3" footer="0.3"/>
  <pageSetup scale="9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3D429-9DCA-46C1-83B3-CA0E9CAF7037}">
  <sheetPr codeName="Sheet10">
    <outlinePr summaryBelow="0"/>
    <pageSetUpPr autoPageBreaks="0" fitToPage="1"/>
  </sheetPr>
  <dimension ref="A1:AK63"/>
  <sheetViews>
    <sheetView showGridLines="0" zoomScale="90" zoomScaleNormal="90" workbookViewId="0">
      <selection activeCell="X50" sqref="X50"/>
    </sheetView>
  </sheetViews>
  <sheetFormatPr defaultRowHeight="15.75" outlineLevelRow="1" outlineLevelCol="1" x14ac:dyDescent="0.25"/>
  <cols>
    <col min="1" max="1" width="2.7109375" customWidth="1"/>
    <col min="2" max="2" width="11.28515625" style="24" hidden="1" customWidth="1" outlineLevel="1"/>
    <col min="3" max="3" width="10.7109375" style="24" hidden="1" customWidth="1" outlineLevel="1"/>
    <col min="4" max="4" width="1.7109375" style="25" hidden="1" customWidth="1" outlineLevel="1"/>
    <col min="5" max="6" width="10.7109375" style="26" hidden="1" customWidth="1" outlineLevel="1"/>
    <col min="7" max="7" width="1.7109375" style="26" hidden="1" customWidth="1" outlineLevel="1"/>
    <col min="8" max="13" width="10.7109375" style="26" hidden="1" customWidth="1" outlineLevel="1"/>
    <col min="14" max="14" width="11.85546875" style="26" hidden="1" customWidth="1" outlineLevel="1"/>
    <col min="15" max="15" width="1.7109375" style="26" hidden="1" customWidth="1" outlineLevel="1"/>
    <col min="16" max="21" width="10.140625" style="26" hidden="1" customWidth="1" outlineLevel="1"/>
    <col min="22" max="22" width="12.140625" style="26" hidden="1" customWidth="1" outlineLevel="1"/>
    <col min="23" max="23" width="4.28515625" hidden="1" customWidth="1" outlineLevel="1"/>
    <col min="24" max="24" width="16.7109375" customWidth="1" collapsed="1"/>
    <col min="25" max="25" width="16.7109375" customWidth="1"/>
    <col min="26" max="26" width="22.85546875" customWidth="1"/>
    <col min="27" max="28" width="15.42578125" style="27" customWidth="1"/>
    <col min="29" max="29" width="15.42578125" customWidth="1"/>
    <col min="30" max="30" width="7.85546875" customWidth="1"/>
    <col min="31" max="31" width="14.85546875" style="11" customWidth="1"/>
    <col min="32" max="32" width="17.28515625" style="11" customWidth="1"/>
    <col min="33" max="33" width="26.5703125" style="11" customWidth="1"/>
    <col min="34" max="36" width="15.7109375" customWidth="1"/>
    <col min="37" max="37" width="11.7109375" bestFit="1" customWidth="1"/>
  </cols>
  <sheetData>
    <row r="1" spans="1:37" ht="9.9499999999999993" customHeight="1" x14ac:dyDescent="0.25"/>
    <row r="2" spans="1:37" ht="21" collapsed="1" x14ac:dyDescent="0.35">
      <c r="X2" s="1" t="s">
        <v>129</v>
      </c>
      <c r="AE2" s="1"/>
    </row>
    <row r="3" spans="1:37" ht="15" hidden="1" outlineLevel="1" x14ac:dyDescent="0.25">
      <c r="B3" s="574" t="s">
        <v>859</v>
      </c>
      <c r="C3" s="574" t="s">
        <v>860</v>
      </c>
      <c r="D3" s="5"/>
      <c r="E3" s="6"/>
      <c r="F3" s="6"/>
      <c r="G3" s="6"/>
      <c r="H3" s="6"/>
      <c r="I3" s="37" t="s">
        <v>130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X3" s="17"/>
    </row>
    <row r="4" spans="1:37" s="9" customFormat="1" hidden="1" outlineLevel="1" x14ac:dyDescent="0.25">
      <c r="A4"/>
      <c r="B4" s="2">
        <v>120</v>
      </c>
      <c r="C4" s="2" t="s">
        <v>129</v>
      </c>
      <c r="D4" s="25"/>
      <c r="E4" s="26"/>
      <c r="F4" s="26"/>
      <c r="G4" s="26"/>
      <c r="I4" s="37" t="s">
        <v>131</v>
      </c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X4" s="8"/>
      <c r="Y4" s="8"/>
      <c r="AA4" s="29"/>
      <c r="AB4" s="29"/>
      <c r="AE4" s="7"/>
      <c r="AF4" s="7"/>
      <c r="AG4" s="7"/>
    </row>
    <row r="5" spans="1:37" s="9" customFormat="1" hidden="1" outlineLevel="1" x14ac:dyDescent="0.25">
      <c r="A5"/>
      <c r="B5" s="2">
        <v>150</v>
      </c>
      <c r="C5" s="2" t="s">
        <v>768</v>
      </c>
      <c r="D5" s="25"/>
      <c r="E5" s="26"/>
      <c r="F5" s="26"/>
      <c r="G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X5" s="8"/>
      <c r="Y5" s="8"/>
      <c r="AA5" s="29"/>
      <c r="AB5" s="29"/>
      <c r="AE5" s="7"/>
      <c r="AF5" s="7"/>
      <c r="AG5" s="7"/>
    </row>
    <row r="6" spans="1:37" s="9" customFormat="1" hidden="1" outlineLevel="1" x14ac:dyDescent="0.25">
      <c r="A6"/>
      <c r="D6" s="25"/>
      <c r="E6" s="26"/>
      <c r="F6" s="26"/>
      <c r="G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X6" s="8"/>
      <c r="Y6" s="8"/>
      <c r="AA6" s="29"/>
      <c r="AB6" s="29"/>
      <c r="AE6" s="7"/>
      <c r="AF6" s="7"/>
      <c r="AG6" s="7"/>
    </row>
    <row r="7" spans="1:37" s="9" customFormat="1" x14ac:dyDescent="0.25">
      <c r="A7"/>
      <c r="D7" s="25"/>
      <c r="E7" s="26"/>
      <c r="F7" s="26"/>
      <c r="G7" s="26"/>
      <c r="H7" s="28"/>
      <c r="I7" s="24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X7" s="8"/>
      <c r="Y7" s="8"/>
      <c r="AA7" s="29"/>
      <c r="AB7" s="29"/>
      <c r="AE7" s="7"/>
      <c r="AF7" s="7"/>
      <c r="AG7" s="7"/>
    </row>
    <row r="8" spans="1:37" s="9" customFormat="1" x14ac:dyDescent="0.25">
      <c r="A8"/>
      <c r="C8" s="24"/>
      <c r="D8" s="25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396" t="s">
        <v>635</v>
      </c>
      <c r="R8" s="400" t="s">
        <v>637</v>
      </c>
      <c r="U8"/>
      <c r="V8"/>
      <c r="W8"/>
      <c r="X8" s="802" t="str">
        <f>_xlfn.CONCAT($Q$8,"  ",R8)</f>
        <v>•  Class Z (.0001" or .0025mm tolerance)</v>
      </c>
      <c r="Y8" s="202"/>
      <c r="Z8" s="202"/>
      <c r="AA8" s="803"/>
      <c r="AB8" s="803"/>
      <c r="AC8" s="202"/>
      <c r="AD8" s="202"/>
      <c r="AE8" s="805"/>
      <c r="AF8" s="804"/>
      <c r="AG8" s="804"/>
      <c r="AH8" s="202"/>
      <c r="AI8" s="202"/>
      <c r="AJ8" s="202"/>
    </row>
    <row r="9" spans="1:37" s="9" customFormat="1" x14ac:dyDescent="0.25">
      <c r="A9"/>
      <c r="C9" s="24"/>
      <c r="D9" s="25"/>
      <c r="E9" s="26"/>
      <c r="F9" s="26"/>
      <c r="G9" s="26"/>
      <c r="K9" s="26"/>
      <c r="L9" s="26"/>
      <c r="M9" s="26"/>
      <c r="N9" s="26"/>
      <c r="O9" s="26"/>
      <c r="P9" s="26"/>
      <c r="Q9" s="396"/>
      <c r="R9" s="400" t="s">
        <v>631</v>
      </c>
      <c r="U9"/>
      <c r="V9"/>
      <c r="W9"/>
      <c r="X9" s="802" t="str">
        <f>_xlfn.CONCAT($Q$8,"  ",R9)</f>
        <v>•  Go (Plus) or NoGo (Minus)</v>
      </c>
      <c r="Y9" s="202"/>
      <c r="Z9" s="202"/>
      <c r="AA9" s="803"/>
      <c r="AB9" s="803"/>
      <c r="AC9" s="202"/>
      <c r="AD9" s="202"/>
      <c r="AE9" s="805"/>
      <c r="AF9" s="804"/>
      <c r="AG9" s="804"/>
      <c r="AH9" s="202"/>
      <c r="AI9" s="202"/>
      <c r="AJ9" s="202"/>
    </row>
    <row r="10" spans="1:37" s="9" customFormat="1" x14ac:dyDescent="0.25">
      <c r="A10"/>
      <c r="B10" s="28"/>
      <c r="C10" s="24"/>
      <c r="D10" s="25"/>
      <c r="E10" s="26"/>
      <c r="F10" s="26"/>
      <c r="G10" s="26"/>
      <c r="K10" s="26"/>
      <c r="L10" s="26"/>
      <c r="M10" s="26"/>
      <c r="N10" s="26"/>
      <c r="O10" s="26"/>
      <c r="P10" s="26"/>
      <c r="Q10" s="398"/>
      <c r="R10" s="400" t="s">
        <v>638</v>
      </c>
      <c r="U10"/>
      <c r="V10"/>
      <c r="W10"/>
      <c r="X10" s="802" t="str">
        <f>_xlfn.CONCAT($Q$8,"  ",R10)</f>
        <v>•  .001" or .02mm increments</v>
      </c>
      <c r="Y10" s="202"/>
      <c r="Z10" s="202"/>
      <c r="AA10" s="803"/>
      <c r="AB10" s="803"/>
      <c r="AC10" s="202"/>
      <c r="AD10" s="202"/>
      <c r="AE10" s="805"/>
      <c r="AF10" s="804"/>
      <c r="AG10" s="804"/>
      <c r="AH10" s="202"/>
      <c r="AI10" s="202"/>
      <c r="AJ10" s="202"/>
    </row>
    <row r="11" spans="1:37" s="9" customFormat="1" ht="16.5" thickBot="1" x14ac:dyDescent="0.3">
      <c r="A11"/>
      <c r="C11" s="24"/>
      <c r="D11" s="25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X11" s="805"/>
      <c r="Y11" s="805"/>
      <c r="Z11" s="202"/>
      <c r="AA11" s="803"/>
      <c r="AB11" s="803"/>
      <c r="AC11" s="202"/>
      <c r="AD11" s="202"/>
      <c r="AE11" s="804"/>
      <c r="AF11" s="804"/>
      <c r="AG11" s="804"/>
      <c r="AH11" s="202"/>
      <c r="AI11" s="202"/>
      <c r="AJ11" s="202"/>
    </row>
    <row r="12" spans="1:37" s="9" customFormat="1" x14ac:dyDescent="0.25">
      <c r="A12"/>
      <c r="B12"/>
      <c r="C12" s="385"/>
      <c r="D12" s="5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/>
      <c r="X12" s="592" t="s">
        <v>570</v>
      </c>
      <c r="Y12" s="592"/>
      <c r="Z12" s="592"/>
      <c r="AA12" s="592"/>
      <c r="AB12" s="592"/>
      <c r="AC12" s="593"/>
      <c r="AD12" s="34"/>
      <c r="AE12" s="592" t="s">
        <v>571</v>
      </c>
      <c r="AF12" s="592"/>
      <c r="AG12" s="592"/>
      <c r="AH12" s="592"/>
      <c r="AI12" s="592"/>
      <c r="AJ12" s="593"/>
      <c r="AK12" s="799"/>
    </row>
    <row r="13" spans="1:37" s="30" customFormat="1" ht="30" x14ac:dyDescent="0.25">
      <c r="A13"/>
      <c r="B13" s="385"/>
      <c r="C13" s="385"/>
      <c r="D13" s="5"/>
      <c r="E13" s="6"/>
      <c r="F13" s="6"/>
      <c r="G13" s="6"/>
      <c r="H13" s="362" t="s">
        <v>629</v>
      </c>
      <c r="I13" s="523" t="s">
        <v>9</v>
      </c>
      <c r="J13" s="363" t="s">
        <v>622</v>
      </c>
      <c r="K13" s="363" t="s">
        <v>623</v>
      </c>
      <c r="L13" s="364" t="s">
        <v>626</v>
      </c>
      <c r="M13" s="361"/>
      <c r="N13" s="365">
        <v>0.4</v>
      </c>
      <c r="O13" s="72"/>
      <c r="P13" s="362" t="s">
        <v>629</v>
      </c>
      <c r="Q13" s="523" t="s">
        <v>9</v>
      </c>
      <c r="R13" s="363" t="s">
        <v>622</v>
      </c>
      <c r="S13" s="363" t="s">
        <v>623</v>
      </c>
      <c r="T13" s="364" t="s">
        <v>626</v>
      </c>
      <c r="U13" s="361"/>
      <c r="V13" s="365">
        <v>0.4</v>
      </c>
      <c r="W13" s="183"/>
      <c r="X13" s="145" t="s">
        <v>9</v>
      </c>
      <c r="Y13" s="147" t="s">
        <v>10</v>
      </c>
      <c r="Z13" s="149" t="s">
        <v>3</v>
      </c>
      <c r="AA13" s="147" t="s">
        <v>11</v>
      </c>
      <c r="AB13" s="172" t="s">
        <v>12</v>
      </c>
      <c r="AC13" s="150" t="s">
        <v>568</v>
      </c>
      <c r="AD13" s="34"/>
      <c r="AE13" s="145" t="s">
        <v>9</v>
      </c>
      <c r="AF13" s="147" t="s">
        <v>10</v>
      </c>
      <c r="AG13" s="149" t="s">
        <v>3</v>
      </c>
      <c r="AH13" s="147" t="s">
        <v>11</v>
      </c>
      <c r="AI13" s="147" t="s">
        <v>12</v>
      </c>
      <c r="AJ13" s="150" t="s">
        <v>568</v>
      </c>
      <c r="AK13" s="799"/>
    </row>
    <row r="14" spans="1:37" s="30" customFormat="1" x14ac:dyDescent="0.25">
      <c r="A14"/>
      <c r="B14" s="351">
        <v>1.0999999999999999E-2</v>
      </c>
      <c r="C14" s="351">
        <v>0.625</v>
      </c>
      <c r="D14" s="5"/>
      <c r="E14" s="6">
        <v>1.52</v>
      </c>
      <c r="F14" s="6">
        <v>17.8</v>
      </c>
      <c r="G14" s="6"/>
      <c r="H14" s="407" t="str">
        <f t="shared" ref="H14:H41" si="0">LEFT(X14,FIND(RIGHT(I14,1),X14)-1)</f>
        <v>LS</v>
      </c>
      <c r="I14" s="753" t="s">
        <v>168</v>
      </c>
      <c r="J14" s="756">
        <v>1490</v>
      </c>
      <c r="K14" s="558">
        <v>1850</v>
      </c>
      <c r="L14" s="561">
        <f t="shared" ref="L14:L27" si="1">IF(K14=0,0,K14-J14)</f>
        <v>360</v>
      </c>
      <c r="M14" s="370">
        <f t="shared" ref="M14:M22" si="2">L14/J14</f>
        <v>0.24161073825503357</v>
      </c>
      <c r="N14" s="350">
        <f t="shared" ref="N14:N22" si="3">(1-$N$13)*K14</f>
        <v>1110</v>
      </c>
      <c r="O14" s="6"/>
      <c r="P14" s="407" t="str">
        <f>LEFT(AE14,3)</f>
        <v>L10</v>
      </c>
      <c r="Q14" s="6" t="s">
        <v>133</v>
      </c>
      <c r="R14" s="756">
        <v>2645</v>
      </c>
      <c r="S14" s="558">
        <v>3100</v>
      </c>
      <c r="T14" s="561">
        <f>IF(S14=0,0,S14-R14)</f>
        <v>455</v>
      </c>
      <c r="U14" s="370">
        <f>T14/R14</f>
        <v>0.17202268431001891</v>
      </c>
      <c r="V14" s="350">
        <f>(1-$V$13)*S14</f>
        <v>1860</v>
      </c>
      <c r="W14" s="6"/>
      <c r="X14" s="173" t="s">
        <v>168</v>
      </c>
      <c r="Y14" s="152" t="s">
        <v>14</v>
      </c>
      <c r="Z14" s="12" t="str">
        <f>_xlfn.CONCAT(TEXT($B14,"#.000#"),"""","  to  ",TEXT($C14,"#.000#"),"""")</f>
        <v>.011"  to  .625"</v>
      </c>
      <c r="AA14" s="153">
        <v>615</v>
      </c>
      <c r="AB14" s="153">
        <v>100</v>
      </c>
      <c r="AC14" s="806">
        <f>$K14</f>
        <v>1850</v>
      </c>
      <c r="AD14" s="34"/>
      <c r="AE14" s="173" t="s">
        <v>133</v>
      </c>
      <c r="AF14" s="152" t="s">
        <v>14</v>
      </c>
      <c r="AG14" s="12" t="str">
        <f>_xlfn.CONCAT(TEXT($E14,"0.00"),"mm","  to  ",TEXT($F14,"0.00"),"mm")</f>
        <v>1.52mm  to  17.80mm</v>
      </c>
      <c r="AH14" s="408">
        <v>815</v>
      </c>
      <c r="AI14" s="152">
        <v>124</v>
      </c>
      <c r="AJ14" s="174">
        <f>$S14</f>
        <v>3100</v>
      </c>
      <c r="AK14" s="799"/>
    </row>
    <row r="15" spans="1:37" s="30" customFormat="1" x14ac:dyDescent="0.25">
      <c r="A15"/>
      <c r="B15" s="351">
        <v>1.0999999999999999E-2</v>
      </c>
      <c r="C15" s="351">
        <v>0.625</v>
      </c>
      <c r="D15" s="5"/>
      <c r="E15" s="6">
        <v>1.52</v>
      </c>
      <c r="F15" s="6">
        <v>17.8</v>
      </c>
      <c r="G15" s="6"/>
      <c r="H15" s="407" t="str">
        <f t="shared" si="0"/>
        <v>LS</v>
      </c>
      <c r="I15" s="754" t="s">
        <v>169</v>
      </c>
      <c r="J15" s="757">
        <v>1490</v>
      </c>
      <c r="K15" s="558">
        <v>1850</v>
      </c>
      <c r="L15" s="562">
        <f t="shared" si="1"/>
        <v>360</v>
      </c>
      <c r="M15" s="371">
        <f t="shared" si="2"/>
        <v>0.24161073825503357</v>
      </c>
      <c r="N15" s="350">
        <f t="shared" si="3"/>
        <v>1110</v>
      </c>
      <c r="O15" s="6"/>
      <c r="P15" s="407" t="str">
        <f t="shared" ref="P15:P25" si="4">LEFT(AE15,3)</f>
        <v>L10</v>
      </c>
      <c r="Q15" s="6" t="s">
        <v>135</v>
      </c>
      <c r="R15" s="757">
        <v>2645</v>
      </c>
      <c r="S15" s="558">
        <v>3100</v>
      </c>
      <c r="T15" s="562">
        <f t="shared" ref="T15:T25" si="5">IF(S15=0,0,S15-R15)</f>
        <v>455</v>
      </c>
      <c r="U15" s="371">
        <f t="shared" ref="U15:U25" si="6">T15/R15</f>
        <v>0.17202268431001891</v>
      </c>
      <c r="V15" s="350">
        <f t="shared" ref="V15:V25" si="7">(1-$V$13)*S15</f>
        <v>1860</v>
      </c>
      <c r="W15" s="6"/>
      <c r="X15" s="173" t="s">
        <v>169</v>
      </c>
      <c r="Y15" s="152" t="s">
        <v>17</v>
      </c>
      <c r="Z15" s="12" t="str">
        <f t="shared" ref="Z15:Z41" si="8">_xlfn.CONCAT(TEXT($B15,"#.000#"),"""","  to  ",TEXT($C15,"#.000#"),"""")</f>
        <v>.011"  to  .625"</v>
      </c>
      <c r="AA15" s="153">
        <v>615</v>
      </c>
      <c r="AB15" s="153">
        <v>100</v>
      </c>
      <c r="AC15" s="806">
        <f t="shared" ref="AC15:AC41" si="9">$K15</f>
        <v>1850</v>
      </c>
      <c r="AD15" s="34"/>
      <c r="AE15" s="173" t="s">
        <v>135</v>
      </c>
      <c r="AF15" s="152" t="s">
        <v>17</v>
      </c>
      <c r="AG15" s="12" t="str">
        <f t="shared" ref="AG15:AG25" si="10">_xlfn.CONCAT(TEXT($E15,"0.00"),"mm","  to  ",TEXT($F15,"0.00"),"mm")</f>
        <v>1.52mm  to  17.80mm</v>
      </c>
      <c r="AH15" s="408">
        <v>815</v>
      </c>
      <c r="AI15" s="152">
        <v>124</v>
      </c>
      <c r="AJ15" s="174">
        <f t="shared" ref="AJ15:AJ25" si="11">$S15</f>
        <v>3100</v>
      </c>
      <c r="AK15" s="799"/>
    </row>
    <row r="16" spans="1:37" s="30" customFormat="1" x14ac:dyDescent="0.25">
      <c r="A16"/>
      <c r="B16" s="351">
        <v>1.15E-2</v>
      </c>
      <c r="C16" s="351">
        <v>0.62549999999999994</v>
      </c>
      <c r="D16" s="5"/>
      <c r="E16" s="6">
        <v>1.53</v>
      </c>
      <c r="F16" s="6">
        <v>17.809999999999999</v>
      </c>
      <c r="G16" s="6"/>
      <c r="H16" s="747" t="str">
        <f t="shared" si="0"/>
        <v>LS5</v>
      </c>
      <c r="I16" s="353" t="s">
        <v>170</v>
      </c>
      <c r="J16" s="758">
        <v>1490</v>
      </c>
      <c r="K16" s="748">
        <v>1870</v>
      </c>
      <c r="L16" s="749">
        <f t="shared" si="1"/>
        <v>380</v>
      </c>
      <c r="M16" s="372">
        <f t="shared" si="2"/>
        <v>0.25503355704697989</v>
      </c>
      <c r="N16" s="355">
        <f t="shared" si="3"/>
        <v>1122</v>
      </c>
      <c r="O16" s="6"/>
      <c r="P16" s="747" t="str">
        <f t="shared" si="4"/>
        <v>L11</v>
      </c>
      <c r="Q16" s="353" t="s">
        <v>137</v>
      </c>
      <c r="R16" s="758">
        <v>2645</v>
      </c>
      <c r="S16" s="748">
        <v>3120</v>
      </c>
      <c r="T16" s="749">
        <f t="shared" si="5"/>
        <v>475</v>
      </c>
      <c r="U16" s="372">
        <f t="shared" si="6"/>
        <v>0.17958412098298676</v>
      </c>
      <c r="V16" s="355">
        <f t="shared" si="7"/>
        <v>1872</v>
      </c>
      <c r="W16" s="6"/>
      <c r="X16" s="807" t="s">
        <v>170</v>
      </c>
      <c r="Y16" s="808" t="s">
        <v>14</v>
      </c>
      <c r="Z16" s="808" t="str">
        <f t="shared" si="8"/>
        <v>.0115"  to  .6255"</v>
      </c>
      <c r="AA16" s="808">
        <v>615</v>
      </c>
      <c r="AB16" s="158">
        <v>100</v>
      </c>
      <c r="AC16" s="809">
        <f t="shared" si="9"/>
        <v>1870</v>
      </c>
      <c r="AD16" s="34"/>
      <c r="AE16" s="810" t="s">
        <v>137</v>
      </c>
      <c r="AF16" s="808" t="s">
        <v>14</v>
      </c>
      <c r="AG16" s="811" t="str">
        <f t="shared" si="10"/>
        <v>1.53mm  to  17.81mm</v>
      </c>
      <c r="AH16" s="812">
        <v>815</v>
      </c>
      <c r="AI16" s="158">
        <v>124</v>
      </c>
      <c r="AJ16" s="813">
        <f t="shared" si="11"/>
        <v>3120</v>
      </c>
      <c r="AK16" s="799"/>
    </row>
    <row r="17" spans="1:37" s="30" customFormat="1" x14ac:dyDescent="0.25">
      <c r="A17"/>
      <c r="B17" s="351">
        <v>1.15E-2</v>
      </c>
      <c r="C17" s="351">
        <v>0.62549999999999994</v>
      </c>
      <c r="D17" s="5"/>
      <c r="E17" s="6">
        <v>1.53</v>
      </c>
      <c r="F17" s="6">
        <v>17.809999999999999</v>
      </c>
      <c r="G17" s="6"/>
      <c r="H17" s="750" t="str">
        <f t="shared" si="0"/>
        <v>LS5</v>
      </c>
      <c r="I17" s="357" t="s">
        <v>171</v>
      </c>
      <c r="J17" s="759">
        <v>1490</v>
      </c>
      <c r="K17" s="751">
        <v>1870</v>
      </c>
      <c r="L17" s="752">
        <f t="shared" si="1"/>
        <v>380</v>
      </c>
      <c r="M17" s="373">
        <f t="shared" si="2"/>
        <v>0.25503355704697989</v>
      </c>
      <c r="N17" s="359">
        <f t="shared" si="3"/>
        <v>1122</v>
      </c>
      <c r="O17" s="6"/>
      <c r="P17" s="750" t="str">
        <f t="shared" si="4"/>
        <v>L11</v>
      </c>
      <c r="Q17" s="357" t="s">
        <v>139</v>
      </c>
      <c r="R17" s="759">
        <v>2645</v>
      </c>
      <c r="S17" s="751">
        <v>3120</v>
      </c>
      <c r="T17" s="752">
        <f t="shared" si="5"/>
        <v>475</v>
      </c>
      <c r="U17" s="373">
        <f t="shared" si="6"/>
        <v>0.17958412098298676</v>
      </c>
      <c r="V17" s="359">
        <f t="shared" si="7"/>
        <v>1872</v>
      </c>
      <c r="W17" s="6"/>
      <c r="X17" s="160" t="s">
        <v>171</v>
      </c>
      <c r="Y17" s="162" t="s">
        <v>17</v>
      </c>
      <c r="Z17" s="165" t="str">
        <f t="shared" si="8"/>
        <v>.0115"  to  .6255"</v>
      </c>
      <c r="AA17" s="162">
        <v>615</v>
      </c>
      <c r="AB17" s="163">
        <v>100</v>
      </c>
      <c r="AC17" s="175">
        <f t="shared" si="9"/>
        <v>1870</v>
      </c>
      <c r="AD17" s="34"/>
      <c r="AE17" s="160" t="s">
        <v>139</v>
      </c>
      <c r="AF17" s="162" t="s">
        <v>17</v>
      </c>
      <c r="AG17" s="176" t="str">
        <f t="shared" si="10"/>
        <v>1.53mm  to  17.81mm</v>
      </c>
      <c r="AH17" s="409">
        <v>815</v>
      </c>
      <c r="AI17" s="163">
        <v>124</v>
      </c>
      <c r="AJ17" s="175">
        <f t="shared" si="11"/>
        <v>3120</v>
      </c>
      <c r="AK17" s="799"/>
    </row>
    <row r="18" spans="1:37" s="30" customFormat="1" x14ac:dyDescent="0.25">
      <c r="A18"/>
      <c r="B18" s="351">
        <v>1.0999999999999999E-2</v>
      </c>
      <c r="C18" s="351">
        <v>0.75</v>
      </c>
      <c r="D18" s="5"/>
      <c r="E18" s="6">
        <v>17.82</v>
      </c>
      <c r="F18" s="6">
        <v>25.4</v>
      </c>
      <c r="G18" s="6"/>
      <c r="H18" s="407" t="str">
        <f t="shared" si="0"/>
        <v>LC</v>
      </c>
      <c r="I18" s="753" t="s">
        <v>164</v>
      </c>
      <c r="J18" s="757">
        <v>2155</v>
      </c>
      <c r="K18" s="558">
        <v>2680</v>
      </c>
      <c r="L18" s="562">
        <f t="shared" si="1"/>
        <v>525</v>
      </c>
      <c r="M18" s="371">
        <f t="shared" si="2"/>
        <v>0.24361948955916474</v>
      </c>
      <c r="N18" s="350">
        <f t="shared" si="3"/>
        <v>1608</v>
      </c>
      <c r="O18" s="6"/>
      <c r="P18" s="407" t="str">
        <f t="shared" si="4"/>
        <v>L20</v>
      </c>
      <c r="Q18" s="6" t="s">
        <v>141</v>
      </c>
      <c r="R18" s="757">
        <v>4180</v>
      </c>
      <c r="S18" s="558">
        <v>4580</v>
      </c>
      <c r="T18" s="562">
        <f t="shared" si="5"/>
        <v>400</v>
      </c>
      <c r="U18" s="371">
        <f t="shared" si="6"/>
        <v>9.569377990430622E-2</v>
      </c>
      <c r="V18" s="350">
        <f t="shared" si="7"/>
        <v>2748</v>
      </c>
      <c r="W18" s="6"/>
      <c r="X18" s="173" t="s">
        <v>164</v>
      </c>
      <c r="Y18" s="152" t="s">
        <v>14</v>
      </c>
      <c r="Z18" s="12" t="str">
        <f t="shared" si="8"/>
        <v>.011"  to  .750"</v>
      </c>
      <c r="AA18" s="153">
        <v>740</v>
      </c>
      <c r="AB18" s="153">
        <v>120</v>
      </c>
      <c r="AC18" s="806">
        <f t="shared" si="9"/>
        <v>2680</v>
      </c>
      <c r="AD18" s="34"/>
      <c r="AE18" s="173" t="s">
        <v>141</v>
      </c>
      <c r="AF18" s="152" t="s">
        <v>14</v>
      </c>
      <c r="AG18" s="12" t="str">
        <f t="shared" si="10"/>
        <v>17.82mm  to  25.40mm</v>
      </c>
      <c r="AH18" s="408">
        <v>380</v>
      </c>
      <c r="AI18" s="152">
        <v>183</v>
      </c>
      <c r="AJ18" s="174">
        <f t="shared" si="11"/>
        <v>4580</v>
      </c>
      <c r="AK18" s="799"/>
    </row>
    <row r="19" spans="1:37" s="30" customFormat="1" x14ac:dyDescent="0.25">
      <c r="A19"/>
      <c r="B19" s="351">
        <v>1.0999999999999999E-2</v>
      </c>
      <c r="C19" s="351">
        <v>0.75</v>
      </c>
      <c r="D19" s="5"/>
      <c r="E19" s="6">
        <v>17.82</v>
      </c>
      <c r="F19" s="6">
        <v>25.4</v>
      </c>
      <c r="G19" s="6"/>
      <c r="H19" s="407" t="str">
        <f t="shared" si="0"/>
        <v>LC</v>
      </c>
      <c r="I19" s="755" t="s">
        <v>165</v>
      </c>
      <c r="J19" s="757">
        <v>2155</v>
      </c>
      <c r="K19" s="558">
        <v>2680</v>
      </c>
      <c r="L19" s="562">
        <f t="shared" si="1"/>
        <v>525</v>
      </c>
      <c r="M19" s="371">
        <f t="shared" si="2"/>
        <v>0.24361948955916474</v>
      </c>
      <c r="N19" s="350">
        <f t="shared" si="3"/>
        <v>1608</v>
      </c>
      <c r="O19" s="6"/>
      <c r="P19" s="407" t="str">
        <f t="shared" si="4"/>
        <v>L20</v>
      </c>
      <c r="Q19" s="6" t="s">
        <v>143</v>
      </c>
      <c r="R19" s="757">
        <v>4180</v>
      </c>
      <c r="S19" s="558">
        <v>4580</v>
      </c>
      <c r="T19" s="562">
        <f t="shared" si="5"/>
        <v>400</v>
      </c>
      <c r="U19" s="371">
        <f t="shared" si="6"/>
        <v>9.569377990430622E-2</v>
      </c>
      <c r="V19" s="350">
        <f t="shared" si="7"/>
        <v>2748</v>
      </c>
      <c r="W19" s="6"/>
      <c r="X19" s="173" t="s">
        <v>165</v>
      </c>
      <c r="Y19" s="152" t="s">
        <v>17</v>
      </c>
      <c r="Z19" s="12" t="str">
        <f t="shared" si="8"/>
        <v>.011"  to  .750"</v>
      </c>
      <c r="AA19" s="153">
        <v>740</v>
      </c>
      <c r="AB19" s="153">
        <v>120</v>
      </c>
      <c r="AC19" s="806">
        <f t="shared" si="9"/>
        <v>2680</v>
      </c>
      <c r="AD19" s="34"/>
      <c r="AE19" s="173" t="s">
        <v>143</v>
      </c>
      <c r="AF19" s="152" t="s">
        <v>17</v>
      </c>
      <c r="AG19" s="12" t="str">
        <f t="shared" si="10"/>
        <v>17.82mm  to  25.40mm</v>
      </c>
      <c r="AH19" s="408">
        <v>380</v>
      </c>
      <c r="AI19" s="152">
        <v>183</v>
      </c>
      <c r="AJ19" s="174">
        <f t="shared" si="11"/>
        <v>4580</v>
      </c>
      <c r="AK19" s="799"/>
    </row>
    <row r="20" spans="1:37" s="30" customFormat="1" x14ac:dyDescent="0.25">
      <c r="A20"/>
      <c r="B20" s="351">
        <v>1.15E-2</v>
      </c>
      <c r="C20" s="351">
        <v>0.75049999999999994</v>
      </c>
      <c r="D20" s="5"/>
      <c r="E20" s="6">
        <v>17.829999999999998</v>
      </c>
      <c r="F20" s="6">
        <v>25.41</v>
      </c>
      <c r="G20" s="6"/>
      <c r="H20" s="747" t="str">
        <f t="shared" si="0"/>
        <v>LC5</v>
      </c>
      <c r="I20" s="353" t="s">
        <v>166</v>
      </c>
      <c r="J20" s="758">
        <v>2155</v>
      </c>
      <c r="K20" s="748">
        <v>2700</v>
      </c>
      <c r="L20" s="749">
        <f t="shared" si="1"/>
        <v>545</v>
      </c>
      <c r="M20" s="372">
        <f t="shared" si="2"/>
        <v>0.25290023201856149</v>
      </c>
      <c r="N20" s="355">
        <f t="shared" si="3"/>
        <v>1620</v>
      </c>
      <c r="O20" s="6"/>
      <c r="P20" s="747" t="str">
        <f t="shared" si="4"/>
        <v>L21</v>
      </c>
      <c r="Q20" s="353" t="s">
        <v>145</v>
      </c>
      <c r="R20" s="758">
        <v>4180</v>
      </c>
      <c r="S20" s="748">
        <v>4600</v>
      </c>
      <c r="T20" s="749">
        <f t="shared" si="5"/>
        <v>420</v>
      </c>
      <c r="U20" s="372">
        <f t="shared" si="6"/>
        <v>0.10047846889952153</v>
      </c>
      <c r="V20" s="355">
        <f t="shared" si="7"/>
        <v>2760</v>
      </c>
      <c r="W20" s="6"/>
      <c r="X20" s="807" t="s">
        <v>166</v>
      </c>
      <c r="Y20" s="808" t="s">
        <v>14</v>
      </c>
      <c r="Z20" s="808" t="str">
        <f t="shared" si="8"/>
        <v>.0115"  to  .7505"</v>
      </c>
      <c r="AA20" s="808">
        <v>740</v>
      </c>
      <c r="AB20" s="158">
        <v>120</v>
      </c>
      <c r="AC20" s="809">
        <f t="shared" si="9"/>
        <v>2700</v>
      </c>
      <c r="AD20" s="34"/>
      <c r="AE20" s="810" t="s">
        <v>145</v>
      </c>
      <c r="AF20" s="808" t="s">
        <v>14</v>
      </c>
      <c r="AG20" s="811" t="str">
        <f t="shared" si="10"/>
        <v>17.83mm  to  25.41mm</v>
      </c>
      <c r="AH20" s="812">
        <v>380</v>
      </c>
      <c r="AI20" s="158">
        <v>183</v>
      </c>
      <c r="AJ20" s="813">
        <f t="shared" si="11"/>
        <v>4600</v>
      </c>
      <c r="AK20" s="799"/>
    </row>
    <row r="21" spans="1:37" s="30" customFormat="1" x14ac:dyDescent="0.25">
      <c r="A21"/>
      <c r="B21" s="351">
        <v>1.15E-2</v>
      </c>
      <c r="C21" s="351">
        <v>0.75049999999999994</v>
      </c>
      <c r="D21" s="5"/>
      <c r="E21" s="6">
        <v>17.829999999999998</v>
      </c>
      <c r="F21" s="6">
        <v>25.41</v>
      </c>
      <c r="G21" s="6"/>
      <c r="H21" s="750" t="str">
        <f t="shared" si="0"/>
        <v>LC5</v>
      </c>
      <c r="I21" s="357" t="s">
        <v>167</v>
      </c>
      <c r="J21" s="759">
        <v>2155</v>
      </c>
      <c r="K21" s="751">
        <v>2700</v>
      </c>
      <c r="L21" s="752">
        <f t="shared" si="1"/>
        <v>545</v>
      </c>
      <c r="M21" s="373">
        <f t="shared" si="2"/>
        <v>0.25290023201856149</v>
      </c>
      <c r="N21" s="359">
        <f t="shared" si="3"/>
        <v>1620</v>
      </c>
      <c r="O21" s="6"/>
      <c r="P21" s="750" t="str">
        <f t="shared" si="4"/>
        <v>L21</v>
      </c>
      <c r="Q21" s="357" t="s">
        <v>147</v>
      </c>
      <c r="R21" s="759">
        <v>4180</v>
      </c>
      <c r="S21" s="751">
        <v>4600</v>
      </c>
      <c r="T21" s="752">
        <f t="shared" si="5"/>
        <v>420</v>
      </c>
      <c r="U21" s="373">
        <f t="shared" si="6"/>
        <v>0.10047846889952153</v>
      </c>
      <c r="V21" s="359">
        <f t="shared" si="7"/>
        <v>2760</v>
      </c>
      <c r="W21" s="6"/>
      <c r="X21" s="160" t="s">
        <v>167</v>
      </c>
      <c r="Y21" s="162" t="s">
        <v>17</v>
      </c>
      <c r="Z21" s="165" t="str">
        <f t="shared" si="8"/>
        <v>.0115"  to  .7505"</v>
      </c>
      <c r="AA21" s="162">
        <v>740</v>
      </c>
      <c r="AB21" s="163">
        <v>120</v>
      </c>
      <c r="AC21" s="175">
        <f t="shared" si="9"/>
        <v>2700</v>
      </c>
      <c r="AD21" s="34"/>
      <c r="AE21" s="160" t="s">
        <v>147</v>
      </c>
      <c r="AF21" s="162" t="s">
        <v>17</v>
      </c>
      <c r="AG21" s="176" t="str">
        <f t="shared" si="10"/>
        <v>17.83mm  to  25.41mm</v>
      </c>
      <c r="AH21" s="409">
        <v>380</v>
      </c>
      <c r="AI21" s="163">
        <v>183</v>
      </c>
      <c r="AJ21" s="175">
        <f t="shared" si="11"/>
        <v>4600</v>
      </c>
      <c r="AK21" s="799"/>
    </row>
    <row r="22" spans="1:37" s="9" customFormat="1" x14ac:dyDescent="0.25">
      <c r="A22"/>
      <c r="B22" s="351">
        <v>6.0999999999999999E-2</v>
      </c>
      <c r="C22" s="351">
        <v>0.75</v>
      </c>
      <c r="D22" s="5"/>
      <c r="E22" s="6">
        <v>1.52</v>
      </c>
      <c r="F22" s="6">
        <v>25.4</v>
      </c>
      <c r="G22" s="6"/>
      <c r="H22" s="407" t="str">
        <f t="shared" si="0"/>
        <v>L1</v>
      </c>
      <c r="I22" s="755" t="s">
        <v>132</v>
      </c>
      <c r="J22" s="757">
        <v>2060</v>
      </c>
      <c r="K22" s="558">
        <v>2560</v>
      </c>
      <c r="L22" s="562">
        <f t="shared" si="1"/>
        <v>500</v>
      </c>
      <c r="M22" s="371">
        <f t="shared" si="2"/>
        <v>0.24271844660194175</v>
      </c>
      <c r="N22" s="350">
        <f t="shared" si="3"/>
        <v>1536</v>
      </c>
      <c r="O22" s="6"/>
      <c r="P22" s="407" t="str">
        <f t="shared" si="4"/>
        <v>L30</v>
      </c>
      <c r="Q22" s="6" t="s">
        <v>149</v>
      </c>
      <c r="R22" s="757">
        <v>6820</v>
      </c>
      <c r="S22" s="558">
        <v>7500</v>
      </c>
      <c r="T22" s="562">
        <f t="shared" si="5"/>
        <v>680</v>
      </c>
      <c r="U22" s="371">
        <f t="shared" si="6"/>
        <v>9.9706744868035185E-2</v>
      </c>
      <c r="V22" s="350">
        <f t="shared" si="7"/>
        <v>4500</v>
      </c>
      <c r="W22" s="6"/>
      <c r="X22" s="173" t="s">
        <v>132</v>
      </c>
      <c r="Y22" s="152" t="s">
        <v>14</v>
      </c>
      <c r="Z22" s="12" t="str">
        <f t="shared" si="8"/>
        <v>.061"  to  .750"</v>
      </c>
      <c r="AA22" s="153">
        <v>690</v>
      </c>
      <c r="AB22" s="153">
        <v>120</v>
      </c>
      <c r="AC22" s="155">
        <f t="shared" si="9"/>
        <v>2560</v>
      </c>
      <c r="AD22" s="34"/>
      <c r="AE22" s="173" t="s">
        <v>149</v>
      </c>
      <c r="AF22" s="152" t="s">
        <v>14</v>
      </c>
      <c r="AG22" s="12" t="str">
        <f t="shared" si="10"/>
        <v>1.52mm  to  25.40mm</v>
      </c>
      <c r="AH22" s="408">
        <v>1195</v>
      </c>
      <c r="AI22" s="152">
        <v>305</v>
      </c>
      <c r="AJ22" s="174">
        <f t="shared" si="11"/>
        <v>7500</v>
      </c>
      <c r="AK22" s="800"/>
    </row>
    <row r="23" spans="1:37" s="9" customFormat="1" x14ac:dyDescent="0.25">
      <c r="A23"/>
      <c r="B23" s="351">
        <v>6.0999999999999999E-2</v>
      </c>
      <c r="C23" s="351">
        <v>0.75</v>
      </c>
      <c r="D23" s="5"/>
      <c r="E23" s="6">
        <v>1.52</v>
      </c>
      <c r="F23" s="6">
        <v>25.4</v>
      </c>
      <c r="G23" s="6"/>
      <c r="H23" s="407" t="str">
        <f t="shared" si="0"/>
        <v>L1</v>
      </c>
      <c r="I23" s="755" t="s">
        <v>134</v>
      </c>
      <c r="J23" s="757">
        <v>2060</v>
      </c>
      <c r="K23" s="558">
        <v>2560</v>
      </c>
      <c r="L23" s="562">
        <f t="shared" si="1"/>
        <v>500</v>
      </c>
      <c r="M23" s="371">
        <f t="shared" ref="M23:M41" si="12">L23/J23</f>
        <v>0.24271844660194175</v>
      </c>
      <c r="N23" s="350">
        <f t="shared" ref="N23:N41" si="13">(1-$N$13)*K23</f>
        <v>1536</v>
      </c>
      <c r="O23" s="6"/>
      <c r="P23" s="407" t="str">
        <f t="shared" si="4"/>
        <v>L30</v>
      </c>
      <c r="Q23" s="6" t="s">
        <v>151</v>
      </c>
      <c r="R23" s="757">
        <v>6820</v>
      </c>
      <c r="S23" s="558">
        <v>7500</v>
      </c>
      <c r="T23" s="562">
        <f t="shared" si="5"/>
        <v>680</v>
      </c>
      <c r="U23" s="371">
        <f t="shared" si="6"/>
        <v>9.9706744868035185E-2</v>
      </c>
      <c r="V23" s="350">
        <f t="shared" si="7"/>
        <v>4500</v>
      </c>
      <c r="W23" s="6"/>
      <c r="X23" s="173" t="s">
        <v>134</v>
      </c>
      <c r="Y23" s="152" t="s">
        <v>17</v>
      </c>
      <c r="Z23" s="12" t="str">
        <f t="shared" si="8"/>
        <v>.061"  to  .750"</v>
      </c>
      <c r="AA23" s="153">
        <v>690</v>
      </c>
      <c r="AB23" s="153">
        <v>120</v>
      </c>
      <c r="AC23" s="806">
        <f t="shared" si="9"/>
        <v>2560</v>
      </c>
      <c r="AD23" s="34"/>
      <c r="AE23" s="173" t="s">
        <v>151</v>
      </c>
      <c r="AF23" s="152" t="s">
        <v>17</v>
      </c>
      <c r="AG23" s="12" t="str">
        <f t="shared" si="10"/>
        <v>1.52mm  to  25.40mm</v>
      </c>
      <c r="AH23" s="408">
        <v>1195</v>
      </c>
      <c r="AI23" s="152">
        <v>305</v>
      </c>
      <c r="AJ23" s="174">
        <f t="shared" si="11"/>
        <v>7500</v>
      </c>
      <c r="AK23" s="800"/>
    </row>
    <row r="24" spans="1:37" s="9" customFormat="1" x14ac:dyDescent="0.25">
      <c r="A24"/>
      <c r="B24" s="351">
        <v>6.1499999999999999E-2</v>
      </c>
      <c r="C24" s="351">
        <v>0.75049999999999994</v>
      </c>
      <c r="D24" s="5"/>
      <c r="E24" s="6">
        <v>1.53</v>
      </c>
      <c r="F24" s="6">
        <v>25.41</v>
      </c>
      <c r="G24" s="6"/>
      <c r="H24" s="747" t="str">
        <f t="shared" si="0"/>
        <v>L15</v>
      </c>
      <c r="I24" s="353" t="s">
        <v>136</v>
      </c>
      <c r="J24" s="758">
        <v>2060</v>
      </c>
      <c r="K24" s="748">
        <v>2580</v>
      </c>
      <c r="L24" s="749">
        <f t="shared" si="1"/>
        <v>520</v>
      </c>
      <c r="M24" s="372">
        <f t="shared" si="12"/>
        <v>0.25242718446601942</v>
      </c>
      <c r="N24" s="355">
        <f t="shared" si="13"/>
        <v>1548</v>
      </c>
      <c r="O24" s="6"/>
      <c r="P24" s="747" t="str">
        <f t="shared" si="4"/>
        <v>L31</v>
      </c>
      <c r="Q24" s="353" t="s">
        <v>153</v>
      </c>
      <c r="R24" s="758">
        <v>6820</v>
      </c>
      <c r="S24" s="748">
        <v>7520</v>
      </c>
      <c r="T24" s="749">
        <f t="shared" si="5"/>
        <v>700</v>
      </c>
      <c r="U24" s="372">
        <f t="shared" si="6"/>
        <v>0.10263929618768329</v>
      </c>
      <c r="V24" s="355">
        <f t="shared" si="7"/>
        <v>4512</v>
      </c>
      <c r="W24" s="6"/>
      <c r="X24" s="807" t="s">
        <v>136</v>
      </c>
      <c r="Y24" s="808" t="s">
        <v>14</v>
      </c>
      <c r="Z24" s="808" t="str">
        <f t="shared" si="8"/>
        <v>.0615"  to  .7505"</v>
      </c>
      <c r="AA24" s="808">
        <v>690</v>
      </c>
      <c r="AB24" s="158">
        <v>120</v>
      </c>
      <c r="AC24" s="809">
        <f t="shared" si="9"/>
        <v>2580</v>
      </c>
      <c r="AD24" s="34"/>
      <c r="AE24" s="810" t="s">
        <v>153</v>
      </c>
      <c r="AF24" s="808" t="s">
        <v>14</v>
      </c>
      <c r="AG24" s="811" t="str">
        <f t="shared" si="10"/>
        <v>1.53mm  to  25.41mm</v>
      </c>
      <c r="AH24" s="812">
        <v>1195</v>
      </c>
      <c r="AI24" s="158">
        <v>305</v>
      </c>
      <c r="AJ24" s="813">
        <f t="shared" si="11"/>
        <v>7520</v>
      </c>
      <c r="AK24" s="799"/>
    </row>
    <row r="25" spans="1:37" s="9" customFormat="1" ht="16.5" thickBot="1" x14ac:dyDescent="0.3">
      <c r="A25"/>
      <c r="B25" s="351">
        <v>6.1499999999999999E-2</v>
      </c>
      <c r="C25" s="351">
        <v>0.75049999999999994</v>
      </c>
      <c r="D25" s="5"/>
      <c r="E25" s="6">
        <v>1.53</v>
      </c>
      <c r="F25" s="6">
        <v>25.41</v>
      </c>
      <c r="G25" s="6"/>
      <c r="H25" s="750" t="str">
        <f t="shared" si="0"/>
        <v>L15</v>
      </c>
      <c r="I25" s="357" t="s">
        <v>138</v>
      </c>
      <c r="J25" s="759">
        <v>2060</v>
      </c>
      <c r="K25" s="751">
        <v>2580</v>
      </c>
      <c r="L25" s="752">
        <f t="shared" si="1"/>
        <v>520</v>
      </c>
      <c r="M25" s="373">
        <f t="shared" si="12"/>
        <v>0.25242718446601942</v>
      </c>
      <c r="N25" s="359">
        <f t="shared" si="13"/>
        <v>1548</v>
      </c>
      <c r="O25" s="6"/>
      <c r="P25" s="750" t="str">
        <f t="shared" si="4"/>
        <v>L31</v>
      </c>
      <c r="Q25" s="357" t="s">
        <v>155</v>
      </c>
      <c r="R25" s="759">
        <v>6820</v>
      </c>
      <c r="S25" s="751">
        <v>7520</v>
      </c>
      <c r="T25" s="752">
        <f t="shared" si="5"/>
        <v>700</v>
      </c>
      <c r="U25" s="373">
        <f t="shared" si="6"/>
        <v>0.10263929618768329</v>
      </c>
      <c r="V25" s="359">
        <f t="shared" si="7"/>
        <v>4512</v>
      </c>
      <c r="W25" s="6"/>
      <c r="X25" s="160" t="s">
        <v>138</v>
      </c>
      <c r="Y25" s="162" t="s">
        <v>17</v>
      </c>
      <c r="Z25" s="165" t="str">
        <f t="shared" si="8"/>
        <v>.0615"  to  .7505"</v>
      </c>
      <c r="AA25" s="162">
        <v>690</v>
      </c>
      <c r="AB25" s="163">
        <v>120</v>
      </c>
      <c r="AC25" s="175">
        <f t="shared" si="9"/>
        <v>2580</v>
      </c>
      <c r="AD25" s="34"/>
      <c r="AE25" s="166" t="s">
        <v>155</v>
      </c>
      <c r="AF25" s="168" t="s">
        <v>17</v>
      </c>
      <c r="AG25" s="177" t="str">
        <f t="shared" si="10"/>
        <v>1.53mm  to  25.41mm</v>
      </c>
      <c r="AH25" s="410">
        <v>1195</v>
      </c>
      <c r="AI25" s="169">
        <v>305</v>
      </c>
      <c r="AJ25" s="178">
        <f t="shared" si="11"/>
        <v>7520</v>
      </c>
      <c r="AK25" s="799"/>
    </row>
    <row r="26" spans="1:37" s="9" customFormat="1" x14ac:dyDescent="0.25">
      <c r="A26"/>
      <c r="B26" s="351">
        <v>1.0999999999999999E-2</v>
      </c>
      <c r="C26" s="351">
        <v>0.50049999999999994</v>
      </c>
      <c r="D26" s="5"/>
      <c r="G26" s="6"/>
      <c r="H26" s="407" t="str">
        <f t="shared" si="0"/>
        <v>L2C</v>
      </c>
      <c r="I26" s="6" t="s">
        <v>144</v>
      </c>
      <c r="J26" s="757">
        <v>1945</v>
      </c>
      <c r="K26" s="558">
        <v>2400</v>
      </c>
      <c r="L26" s="562">
        <f t="shared" si="1"/>
        <v>455</v>
      </c>
      <c r="M26" s="371">
        <f t="shared" si="12"/>
        <v>0.23393316195372751</v>
      </c>
      <c r="N26" s="350">
        <f t="shared" si="13"/>
        <v>1440</v>
      </c>
      <c r="O26" s="6"/>
      <c r="P26" s="6"/>
      <c r="R26" s="559"/>
      <c r="S26" s="559"/>
      <c r="W26" s="6"/>
      <c r="X26" s="173" t="s">
        <v>144</v>
      </c>
      <c r="Y26" s="152" t="s">
        <v>14</v>
      </c>
      <c r="Z26" s="12" t="str">
        <f>_xlfn.CONCAT(TEXT($B26,"#.000#"),"""","  to  ",TEXT($C26,"#.000#"),"""*")</f>
        <v>.011"  to  .5005"*</v>
      </c>
      <c r="AA26" s="153">
        <v>980</v>
      </c>
      <c r="AB26" s="153">
        <v>96</v>
      </c>
      <c r="AC26" s="806">
        <f t="shared" si="9"/>
        <v>2400</v>
      </c>
      <c r="AD26" s="34"/>
      <c r="AE26" s="179"/>
      <c r="AF26" s="12"/>
      <c r="AG26" s="12"/>
      <c r="AH26" s="180"/>
      <c r="AI26" s="180"/>
      <c r="AJ26" s="34"/>
      <c r="AK26" s="799"/>
    </row>
    <row r="27" spans="1:37" s="9" customFormat="1" x14ac:dyDescent="0.25">
      <c r="A27"/>
      <c r="B27" s="351">
        <v>1.0999999999999999E-2</v>
      </c>
      <c r="C27" s="351">
        <v>0.50049999999999994</v>
      </c>
      <c r="D27" s="5"/>
      <c r="G27" s="6"/>
      <c r="H27" s="407" t="str">
        <f t="shared" si="0"/>
        <v>L2C</v>
      </c>
      <c r="I27" s="6" t="s">
        <v>146</v>
      </c>
      <c r="J27" s="757">
        <v>1945</v>
      </c>
      <c r="K27" s="558">
        <v>2400</v>
      </c>
      <c r="L27" s="562">
        <f t="shared" si="1"/>
        <v>455</v>
      </c>
      <c r="M27" s="371">
        <f t="shared" si="12"/>
        <v>0.23393316195372751</v>
      </c>
      <c r="N27" s="350">
        <f t="shared" si="13"/>
        <v>1440</v>
      </c>
      <c r="O27" s="6"/>
      <c r="P27" s="6"/>
      <c r="W27" s="6"/>
      <c r="X27" s="173" t="s">
        <v>146</v>
      </c>
      <c r="Y27" s="152" t="s">
        <v>17</v>
      </c>
      <c r="Z27" s="12" t="str">
        <f>_xlfn.CONCAT(TEXT($B27,"#.000#"),"""","  to  ",TEXT($C27,"#.000#"),"""*")</f>
        <v>.011"  to  .5005"*</v>
      </c>
      <c r="AA27" s="153">
        <v>980</v>
      </c>
      <c r="AB27" s="153">
        <v>96</v>
      </c>
      <c r="AC27" s="806">
        <f t="shared" si="9"/>
        <v>2400</v>
      </c>
      <c r="AD27" s="34"/>
      <c r="AE27" s="784" t="s">
        <v>961</v>
      </c>
      <c r="AF27" s="202"/>
      <c r="AG27" s="202"/>
      <c r="AH27" s="34"/>
      <c r="AI27" s="34"/>
      <c r="AJ27" s="34"/>
      <c r="AK27" s="799"/>
    </row>
    <row r="28" spans="1:37" s="9" customFormat="1" x14ac:dyDescent="0.25">
      <c r="A28"/>
      <c r="B28" s="351">
        <v>6.0999999999999999E-2</v>
      </c>
      <c r="C28" s="351">
        <v>0.50049999999999994</v>
      </c>
      <c r="D28" s="5"/>
      <c r="G28" s="6"/>
      <c r="H28" s="747" t="str">
        <f t="shared" si="0"/>
        <v>L2</v>
      </c>
      <c r="I28" s="353" t="s">
        <v>140</v>
      </c>
      <c r="J28" s="758">
        <v>1750</v>
      </c>
      <c r="K28" s="748">
        <v>2100</v>
      </c>
      <c r="L28" s="749">
        <f t="shared" ref="L28:L41" si="14">IF(K28=0,0,K28-J28)</f>
        <v>350</v>
      </c>
      <c r="M28" s="372">
        <f t="shared" si="12"/>
        <v>0.2</v>
      </c>
      <c r="N28" s="355">
        <f t="shared" si="13"/>
        <v>1260</v>
      </c>
      <c r="O28" s="6"/>
      <c r="P28" s="6"/>
      <c r="W28" s="6"/>
      <c r="X28" s="807" t="s">
        <v>140</v>
      </c>
      <c r="Y28" s="808" t="s">
        <v>14</v>
      </c>
      <c r="Z28" s="808" t="str">
        <f>_xlfn.CONCAT(TEXT($B28,"#.000#"),"""","  to  ",TEXT($C28,"#.000#"),"""*")</f>
        <v>.061"  to  .5005"*</v>
      </c>
      <c r="AA28" s="808">
        <v>880</v>
      </c>
      <c r="AB28" s="158">
        <v>95</v>
      </c>
      <c r="AC28" s="809">
        <f t="shared" si="9"/>
        <v>2100</v>
      </c>
      <c r="AD28" s="34"/>
      <c r="AE28" s="181"/>
      <c r="AF28" s="12"/>
      <c r="AG28" s="12"/>
      <c r="AH28" s="34"/>
      <c r="AI28" s="34"/>
      <c r="AJ28" s="34"/>
      <c r="AK28" s="799"/>
    </row>
    <row r="29" spans="1:37" s="9" customFormat="1" x14ac:dyDescent="0.25">
      <c r="A29"/>
      <c r="B29" s="351">
        <v>6.0999999999999999E-2</v>
      </c>
      <c r="C29" s="351">
        <v>0.50049999999999994</v>
      </c>
      <c r="D29" s="5"/>
      <c r="G29" s="6"/>
      <c r="H29" s="750" t="str">
        <f t="shared" si="0"/>
        <v>L2</v>
      </c>
      <c r="I29" s="357" t="s">
        <v>142</v>
      </c>
      <c r="J29" s="759">
        <v>1750</v>
      </c>
      <c r="K29" s="751">
        <v>2100</v>
      </c>
      <c r="L29" s="752">
        <f t="shared" si="14"/>
        <v>350</v>
      </c>
      <c r="M29" s="373">
        <f t="shared" si="12"/>
        <v>0.2</v>
      </c>
      <c r="N29" s="359">
        <f t="shared" si="13"/>
        <v>1260</v>
      </c>
      <c r="O29" s="6"/>
      <c r="P29" s="6"/>
      <c r="Q29"/>
      <c r="R29"/>
      <c r="S29"/>
      <c r="T29"/>
      <c r="U29"/>
      <c r="V29"/>
      <c r="W29"/>
      <c r="X29" s="160" t="s">
        <v>142</v>
      </c>
      <c r="Y29" s="162" t="s">
        <v>17</v>
      </c>
      <c r="Z29" s="165" t="str">
        <f>_xlfn.CONCAT(TEXT($B29,"#.000#"),"""","  to  ",TEXT($C29,"#.000#"),"""*")</f>
        <v>.061"  to  .5005"*</v>
      </c>
      <c r="AA29" s="162">
        <v>880</v>
      </c>
      <c r="AB29" s="163">
        <v>95</v>
      </c>
      <c r="AC29" s="175">
        <f t="shared" si="9"/>
        <v>2100</v>
      </c>
      <c r="AD29" s="34"/>
      <c r="AE29" s="402"/>
      <c r="AF29" s="202"/>
      <c r="AG29" s="202"/>
      <c r="AH29" s="202"/>
      <c r="AI29" s="202"/>
      <c r="AJ29" s="202"/>
      <c r="AK29" s="799"/>
    </row>
    <row r="30" spans="1:37" s="9" customFormat="1" x14ac:dyDescent="0.25">
      <c r="A30"/>
      <c r="B30" s="351">
        <v>6.0999999999999999E-2</v>
      </c>
      <c r="C30" s="351">
        <v>1</v>
      </c>
      <c r="D30" s="5"/>
      <c r="G30" s="6"/>
      <c r="H30" s="407" t="str">
        <f t="shared" si="0"/>
        <v>L3</v>
      </c>
      <c r="I30" s="6" t="s">
        <v>148</v>
      </c>
      <c r="J30" s="757">
        <v>5245</v>
      </c>
      <c r="K30" s="558">
        <v>5800</v>
      </c>
      <c r="L30" s="562">
        <f t="shared" si="14"/>
        <v>555</v>
      </c>
      <c r="M30" s="371">
        <f t="shared" si="12"/>
        <v>0.10581506196377502</v>
      </c>
      <c r="N30" s="350">
        <f t="shared" si="13"/>
        <v>3480</v>
      </c>
      <c r="O30" s="6"/>
      <c r="P30" s="6"/>
      <c r="Q30"/>
      <c r="R30"/>
      <c r="S30"/>
      <c r="T30"/>
      <c r="U30"/>
      <c r="V30"/>
      <c r="W30"/>
      <c r="X30" s="173" t="s">
        <v>148</v>
      </c>
      <c r="Y30" s="152" t="s">
        <v>14</v>
      </c>
      <c r="Z30" s="12" t="str">
        <f t="shared" si="8"/>
        <v>.061"  to  1.000"</v>
      </c>
      <c r="AA30" s="153">
        <v>940</v>
      </c>
      <c r="AB30" s="153">
        <v>240</v>
      </c>
      <c r="AC30" s="806">
        <f t="shared" si="9"/>
        <v>5800</v>
      </c>
      <c r="AD30" s="34"/>
      <c r="AE30" s="202"/>
      <c r="AF30" s="202"/>
      <c r="AG30" s="202"/>
      <c r="AH30" s="202"/>
      <c r="AI30" s="202"/>
      <c r="AJ30" s="202"/>
      <c r="AK30" s="799"/>
    </row>
    <row r="31" spans="1:37" s="9" customFormat="1" x14ac:dyDescent="0.25">
      <c r="A31"/>
      <c r="B31" s="351">
        <v>6.0999999999999999E-2</v>
      </c>
      <c r="C31" s="351">
        <v>1</v>
      </c>
      <c r="D31" s="5"/>
      <c r="G31" s="6"/>
      <c r="H31" s="407" t="str">
        <f t="shared" si="0"/>
        <v>L3</v>
      </c>
      <c r="I31" s="6" t="s">
        <v>150</v>
      </c>
      <c r="J31" s="757">
        <v>5245</v>
      </c>
      <c r="K31" s="558">
        <v>5800</v>
      </c>
      <c r="L31" s="562">
        <f t="shared" si="14"/>
        <v>555</v>
      </c>
      <c r="M31" s="371">
        <f t="shared" si="12"/>
        <v>0.10581506196377502</v>
      </c>
      <c r="N31" s="350">
        <f t="shared" si="13"/>
        <v>3480</v>
      </c>
      <c r="O31" s="6"/>
      <c r="P31" s="6"/>
      <c r="Q31"/>
      <c r="R31"/>
      <c r="S31"/>
      <c r="T31"/>
      <c r="U31"/>
      <c r="V31"/>
      <c r="W31"/>
      <c r="X31" s="173" t="s">
        <v>150</v>
      </c>
      <c r="Y31" s="152" t="s">
        <v>17</v>
      </c>
      <c r="Z31" s="12" t="str">
        <f t="shared" si="8"/>
        <v>.061"  to  1.000"</v>
      </c>
      <c r="AA31" s="153">
        <v>940</v>
      </c>
      <c r="AB31" s="153">
        <v>240</v>
      </c>
      <c r="AC31" s="806">
        <f t="shared" si="9"/>
        <v>5800</v>
      </c>
      <c r="AD31" s="34"/>
      <c r="AE31" s="202"/>
      <c r="AF31" s="202"/>
      <c r="AG31" s="202"/>
      <c r="AH31" s="202"/>
      <c r="AI31" s="202"/>
      <c r="AJ31" s="202"/>
      <c r="AK31" s="799"/>
    </row>
    <row r="32" spans="1:37" s="9" customFormat="1" x14ac:dyDescent="0.25">
      <c r="A32"/>
      <c r="B32" s="351">
        <v>6.1499999999999999E-2</v>
      </c>
      <c r="C32" s="351">
        <v>1.0004999999999999</v>
      </c>
      <c r="D32" s="5"/>
      <c r="G32" s="6"/>
      <c r="H32" s="747" t="str">
        <f t="shared" si="0"/>
        <v>L35</v>
      </c>
      <c r="I32" s="353" t="s">
        <v>152</v>
      </c>
      <c r="J32" s="758">
        <v>5245</v>
      </c>
      <c r="K32" s="748">
        <v>5820</v>
      </c>
      <c r="L32" s="749">
        <f t="shared" si="14"/>
        <v>575</v>
      </c>
      <c r="M32" s="372">
        <f t="shared" si="12"/>
        <v>0.109628217349857</v>
      </c>
      <c r="N32" s="355">
        <f t="shared" si="13"/>
        <v>3492</v>
      </c>
      <c r="O32" s="6"/>
      <c r="P32" s="6"/>
      <c r="Q32"/>
      <c r="R32"/>
      <c r="S32"/>
      <c r="T32"/>
      <c r="U32"/>
      <c r="V32"/>
      <c r="W32"/>
      <c r="X32" s="807" t="s">
        <v>152</v>
      </c>
      <c r="Y32" s="808" t="s">
        <v>14</v>
      </c>
      <c r="Z32" s="808" t="str">
        <f t="shared" si="8"/>
        <v>.0615"  to  1.0005"</v>
      </c>
      <c r="AA32" s="808">
        <v>940</v>
      </c>
      <c r="AB32" s="158">
        <v>240</v>
      </c>
      <c r="AC32" s="809">
        <f t="shared" si="9"/>
        <v>5820</v>
      </c>
      <c r="AD32" s="34"/>
      <c r="AE32" s="202"/>
      <c r="AF32" s="202"/>
      <c r="AG32" s="202"/>
      <c r="AH32" s="202"/>
      <c r="AI32" s="202"/>
      <c r="AJ32" s="202"/>
      <c r="AK32" s="799"/>
    </row>
    <row r="33" spans="1:37" s="9" customFormat="1" x14ac:dyDescent="0.25">
      <c r="A33"/>
      <c r="B33" s="351">
        <v>6.1499999999999999E-2</v>
      </c>
      <c r="C33" s="351">
        <v>1.0004999999999999</v>
      </c>
      <c r="D33" s="5"/>
      <c r="G33" s="6"/>
      <c r="H33" s="750" t="str">
        <f t="shared" si="0"/>
        <v>L35</v>
      </c>
      <c r="I33" s="357" t="s">
        <v>154</v>
      </c>
      <c r="J33" s="759">
        <v>5245</v>
      </c>
      <c r="K33" s="751">
        <v>5820</v>
      </c>
      <c r="L33" s="752">
        <f t="shared" si="14"/>
        <v>575</v>
      </c>
      <c r="M33" s="373">
        <f t="shared" si="12"/>
        <v>0.109628217349857</v>
      </c>
      <c r="N33" s="359">
        <f t="shared" si="13"/>
        <v>3492</v>
      </c>
      <c r="O33" s="6"/>
      <c r="P33" s="6"/>
      <c r="Q33"/>
      <c r="R33"/>
      <c r="S33"/>
      <c r="T33"/>
      <c r="U33"/>
      <c r="V33"/>
      <c r="W33"/>
      <c r="X33" s="160" t="s">
        <v>154</v>
      </c>
      <c r="Y33" s="162" t="s">
        <v>17</v>
      </c>
      <c r="Z33" s="165" t="str">
        <f t="shared" si="8"/>
        <v>.0615"  to  1.0005"</v>
      </c>
      <c r="AA33" s="162">
        <v>940</v>
      </c>
      <c r="AB33" s="163">
        <v>240</v>
      </c>
      <c r="AC33" s="175">
        <f t="shared" si="9"/>
        <v>5820</v>
      </c>
      <c r="AD33" s="34"/>
      <c r="AE33" s="202"/>
      <c r="AF33" s="202"/>
      <c r="AG33" s="202"/>
      <c r="AH33" s="202"/>
      <c r="AI33" s="202"/>
      <c r="AJ33" s="202"/>
      <c r="AK33" s="799"/>
    </row>
    <row r="34" spans="1:37" s="9" customFormat="1" x14ac:dyDescent="0.25">
      <c r="A34"/>
      <c r="B34" s="351">
        <v>1.0999999999999999E-2</v>
      </c>
      <c r="C34" s="351">
        <v>1</v>
      </c>
      <c r="D34" s="5"/>
      <c r="E34" s="6"/>
      <c r="F34" s="6"/>
      <c r="G34" s="6"/>
      <c r="H34" s="407" t="str">
        <f t="shared" si="0"/>
        <v>L4</v>
      </c>
      <c r="I34" s="6" t="s">
        <v>156</v>
      </c>
      <c r="J34" s="757">
        <v>5345</v>
      </c>
      <c r="K34" s="558">
        <v>6000</v>
      </c>
      <c r="L34" s="562">
        <f t="shared" si="14"/>
        <v>655</v>
      </c>
      <c r="M34" s="371">
        <f t="shared" si="12"/>
        <v>0.1225444340505145</v>
      </c>
      <c r="N34" s="350">
        <f t="shared" si="13"/>
        <v>3600</v>
      </c>
      <c r="O34" s="6"/>
      <c r="P34" s="6"/>
      <c r="Q34"/>
      <c r="R34"/>
      <c r="S34"/>
      <c r="T34"/>
      <c r="U34"/>
      <c r="V34"/>
      <c r="W34"/>
      <c r="X34" s="173" t="s">
        <v>156</v>
      </c>
      <c r="Y34" s="152" t="s">
        <v>14</v>
      </c>
      <c r="Z34" s="12" t="str">
        <f t="shared" si="8"/>
        <v>.011"  to  1.000"</v>
      </c>
      <c r="AA34" s="153">
        <v>990</v>
      </c>
      <c r="AB34" s="153">
        <v>240</v>
      </c>
      <c r="AC34" s="806">
        <f t="shared" si="9"/>
        <v>6000</v>
      </c>
      <c r="AD34" s="34"/>
      <c r="AE34" s="202"/>
      <c r="AF34" s="202"/>
      <c r="AG34" s="202"/>
      <c r="AH34" s="202"/>
      <c r="AI34" s="202"/>
      <c r="AJ34" s="202"/>
      <c r="AK34" s="799"/>
    </row>
    <row r="35" spans="1:37" s="9" customFormat="1" x14ac:dyDescent="0.25">
      <c r="A35"/>
      <c r="B35" s="351">
        <v>1.0999999999999999E-2</v>
      </c>
      <c r="C35" s="351">
        <v>1</v>
      </c>
      <c r="D35" s="5"/>
      <c r="E35" s="6"/>
      <c r="F35" s="6"/>
      <c r="G35" s="6"/>
      <c r="H35" s="407" t="str">
        <f t="shared" si="0"/>
        <v>L4</v>
      </c>
      <c r="I35" s="6" t="s">
        <v>157</v>
      </c>
      <c r="J35" s="757">
        <v>5345</v>
      </c>
      <c r="K35" s="558">
        <v>6000</v>
      </c>
      <c r="L35" s="562">
        <f t="shared" si="14"/>
        <v>655</v>
      </c>
      <c r="M35" s="371">
        <f t="shared" si="12"/>
        <v>0.1225444340505145</v>
      </c>
      <c r="N35" s="350">
        <f t="shared" si="13"/>
        <v>3600</v>
      </c>
      <c r="O35" s="6"/>
      <c r="P35" s="6"/>
      <c r="Q35"/>
      <c r="R35"/>
      <c r="S35"/>
      <c r="T35"/>
      <c r="U35"/>
      <c r="V35"/>
      <c r="W35"/>
      <c r="X35" s="173" t="s">
        <v>157</v>
      </c>
      <c r="Y35" s="152" t="s">
        <v>17</v>
      </c>
      <c r="Z35" s="12" t="str">
        <f t="shared" si="8"/>
        <v>.011"  to  1.000"</v>
      </c>
      <c r="AA35" s="153">
        <v>990</v>
      </c>
      <c r="AB35" s="153">
        <v>240</v>
      </c>
      <c r="AC35" s="806">
        <f t="shared" si="9"/>
        <v>6000</v>
      </c>
      <c r="AD35" s="34"/>
      <c r="AE35" s="202"/>
      <c r="AF35" s="202"/>
      <c r="AG35" s="202"/>
      <c r="AH35" s="202"/>
      <c r="AI35" s="202"/>
      <c r="AJ35" s="202"/>
      <c r="AK35" s="799"/>
    </row>
    <row r="36" spans="1:37" s="9" customFormat="1" x14ac:dyDescent="0.25">
      <c r="A36"/>
      <c r="B36" s="351">
        <v>1.15E-2</v>
      </c>
      <c r="C36" s="351">
        <v>1.0004999999999999</v>
      </c>
      <c r="D36" s="5"/>
      <c r="E36" s="6"/>
      <c r="F36" s="6"/>
      <c r="G36" s="6"/>
      <c r="H36" s="747" t="str">
        <f t="shared" si="0"/>
        <v>L45</v>
      </c>
      <c r="I36" s="353" t="s">
        <v>158</v>
      </c>
      <c r="J36" s="758">
        <v>5345</v>
      </c>
      <c r="K36" s="748">
        <v>6040</v>
      </c>
      <c r="L36" s="749">
        <f t="shared" si="14"/>
        <v>695</v>
      </c>
      <c r="M36" s="372">
        <f t="shared" si="12"/>
        <v>0.13002806361085126</v>
      </c>
      <c r="N36" s="355">
        <f t="shared" si="13"/>
        <v>3624</v>
      </c>
      <c r="O36" s="6"/>
      <c r="P36" s="6"/>
      <c r="Q36"/>
      <c r="R36"/>
      <c r="S36"/>
      <c r="T36"/>
      <c r="U36"/>
      <c r="V36"/>
      <c r="W36"/>
      <c r="X36" s="807" t="s">
        <v>158</v>
      </c>
      <c r="Y36" s="808" t="s">
        <v>14</v>
      </c>
      <c r="Z36" s="808" t="str">
        <f t="shared" si="8"/>
        <v>.0115"  to  1.0005"</v>
      </c>
      <c r="AA36" s="808">
        <v>990</v>
      </c>
      <c r="AB36" s="158">
        <v>240</v>
      </c>
      <c r="AC36" s="809">
        <f t="shared" si="9"/>
        <v>6040</v>
      </c>
      <c r="AD36" s="34"/>
      <c r="AE36" s="202"/>
      <c r="AF36" s="202"/>
      <c r="AG36" s="202"/>
      <c r="AH36" s="202"/>
      <c r="AI36" s="202"/>
      <c r="AJ36" s="202"/>
      <c r="AK36" s="799"/>
    </row>
    <row r="37" spans="1:37" s="9" customFormat="1" x14ac:dyDescent="0.25">
      <c r="A37"/>
      <c r="B37" s="351">
        <v>1.15E-2</v>
      </c>
      <c r="C37" s="351">
        <v>1.0004999999999999</v>
      </c>
      <c r="D37" s="5"/>
      <c r="E37" s="6"/>
      <c r="F37" s="6"/>
      <c r="G37" s="6"/>
      <c r="H37" s="750" t="str">
        <f t="shared" si="0"/>
        <v>L45</v>
      </c>
      <c r="I37" s="357" t="s">
        <v>159</v>
      </c>
      <c r="J37" s="759">
        <v>5345</v>
      </c>
      <c r="K37" s="751">
        <v>6040</v>
      </c>
      <c r="L37" s="752">
        <f t="shared" si="14"/>
        <v>695</v>
      </c>
      <c r="M37" s="373">
        <f t="shared" si="12"/>
        <v>0.13002806361085126</v>
      </c>
      <c r="N37" s="359">
        <f t="shared" si="13"/>
        <v>3624</v>
      </c>
      <c r="O37" s="6"/>
      <c r="P37" s="6"/>
      <c r="Q37"/>
      <c r="R37"/>
      <c r="S37"/>
      <c r="T37"/>
      <c r="U37"/>
      <c r="V37"/>
      <c r="W37"/>
      <c r="X37" s="160" t="s">
        <v>159</v>
      </c>
      <c r="Y37" s="162" t="s">
        <v>17</v>
      </c>
      <c r="Z37" s="165" t="str">
        <f t="shared" si="8"/>
        <v>.0115"  to  1.0005"</v>
      </c>
      <c r="AA37" s="162">
        <v>990</v>
      </c>
      <c r="AB37" s="163">
        <v>240</v>
      </c>
      <c r="AC37" s="175">
        <f t="shared" si="9"/>
        <v>6040</v>
      </c>
      <c r="AD37" s="34"/>
      <c r="AE37" s="202"/>
      <c r="AF37" s="202"/>
      <c r="AG37" s="202"/>
      <c r="AH37" s="202"/>
      <c r="AI37" s="202"/>
      <c r="AJ37" s="202"/>
    </row>
    <row r="38" spans="1:37" s="9" customFormat="1" x14ac:dyDescent="0.25">
      <c r="A38"/>
      <c r="B38" s="351">
        <v>0.751</v>
      </c>
      <c r="C38" s="351">
        <v>1</v>
      </c>
      <c r="D38" s="5"/>
      <c r="E38" s="6"/>
      <c r="F38" s="6"/>
      <c r="G38" s="6"/>
      <c r="H38" s="407" t="str">
        <f t="shared" si="0"/>
        <v>L5</v>
      </c>
      <c r="I38" s="6" t="s">
        <v>160</v>
      </c>
      <c r="J38" s="757">
        <v>3435</v>
      </c>
      <c r="K38" s="558">
        <v>3800</v>
      </c>
      <c r="L38" s="562">
        <f t="shared" si="14"/>
        <v>365</v>
      </c>
      <c r="M38" s="371">
        <f t="shared" si="12"/>
        <v>0.10625909752547306</v>
      </c>
      <c r="N38" s="350">
        <f t="shared" si="13"/>
        <v>2280</v>
      </c>
      <c r="O38" s="6"/>
      <c r="P38" s="6"/>
      <c r="Q38"/>
      <c r="R38"/>
      <c r="S38"/>
      <c r="T38"/>
      <c r="U38"/>
      <c r="V38"/>
      <c r="W38"/>
      <c r="X38" s="173" t="s">
        <v>160</v>
      </c>
      <c r="Y38" s="152" t="s">
        <v>14</v>
      </c>
      <c r="Z38" s="12" t="str">
        <f t="shared" si="8"/>
        <v>.751"  to  1.000"</v>
      </c>
      <c r="AA38" s="153">
        <v>250</v>
      </c>
      <c r="AB38" s="153">
        <v>140</v>
      </c>
      <c r="AC38" s="806">
        <f t="shared" si="9"/>
        <v>3800</v>
      </c>
      <c r="AD38" s="34"/>
      <c r="AE38" s="202"/>
      <c r="AF38" s="202"/>
      <c r="AG38" s="202"/>
      <c r="AH38" s="202"/>
      <c r="AI38" s="202"/>
      <c r="AJ38" s="202"/>
    </row>
    <row r="39" spans="1:37" s="9" customFormat="1" x14ac:dyDescent="0.25">
      <c r="A39"/>
      <c r="B39" s="351">
        <v>0.751</v>
      </c>
      <c r="C39" s="351">
        <v>1</v>
      </c>
      <c r="D39" s="5"/>
      <c r="E39" s="6"/>
      <c r="F39" s="6"/>
      <c r="G39" s="6"/>
      <c r="H39" s="407" t="str">
        <f t="shared" si="0"/>
        <v>L5</v>
      </c>
      <c r="I39" s="6" t="s">
        <v>161</v>
      </c>
      <c r="J39" s="757">
        <v>3435</v>
      </c>
      <c r="K39" s="558">
        <v>3800</v>
      </c>
      <c r="L39" s="562">
        <f t="shared" si="14"/>
        <v>365</v>
      </c>
      <c r="M39" s="371">
        <f t="shared" si="12"/>
        <v>0.10625909752547306</v>
      </c>
      <c r="N39" s="350">
        <f t="shared" si="13"/>
        <v>2280</v>
      </c>
      <c r="O39" s="6"/>
      <c r="P39" s="6"/>
      <c r="Q39" s="6"/>
      <c r="R39" s="6"/>
      <c r="S39" s="6"/>
      <c r="T39" s="6"/>
      <c r="U39" s="6"/>
      <c r="V39" s="6"/>
      <c r="W39" s="6"/>
      <c r="X39" s="173" t="s">
        <v>161</v>
      </c>
      <c r="Y39" s="152" t="s">
        <v>17</v>
      </c>
      <c r="Z39" s="12" t="str">
        <f t="shared" si="8"/>
        <v>.751"  to  1.000"</v>
      </c>
      <c r="AA39" s="153">
        <v>250</v>
      </c>
      <c r="AB39" s="153">
        <v>140</v>
      </c>
      <c r="AC39" s="806">
        <f t="shared" si="9"/>
        <v>3800</v>
      </c>
      <c r="AD39" s="34"/>
      <c r="AE39" s="12"/>
      <c r="AF39" s="12"/>
      <c r="AG39" s="12"/>
      <c r="AH39" s="34"/>
      <c r="AI39" s="34"/>
      <c r="AJ39" s="34"/>
      <c r="AK39" s="799"/>
    </row>
    <row r="40" spans="1:37" s="9" customFormat="1" x14ac:dyDescent="0.25">
      <c r="A40"/>
      <c r="B40" s="351">
        <v>0.75149999999999995</v>
      </c>
      <c r="C40" s="351">
        <v>1.0004999999999999</v>
      </c>
      <c r="D40" s="5"/>
      <c r="E40" s="6"/>
      <c r="F40" s="6"/>
      <c r="G40" s="6"/>
      <c r="H40" s="747" t="str">
        <f t="shared" si="0"/>
        <v>L55</v>
      </c>
      <c r="I40" s="353" t="s">
        <v>162</v>
      </c>
      <c r="J40" s="758">
        <v>3435</v>
      </c>
      <c r="K40" s="748">
        <v>3840</v>
      </c>
      <c r="L40" s="749">
        <f t="shared" si="14"/>
        <v>405</v>
      </c>
      <c r="M40" s="372">
        <f t="shared" si="12"/>
        <v>0.11790393013100436</v>
      </c>
      <c r="N40" s="355">
        <f t="shared" si="13"/>
        <v>2304</v>
      </c>
      <c r="O40" s="6"/>
      <c r="P40" s="6"/>
      <c r="Q40" s="6"/>
      <c r="R40" s="6"/>
      <c r="S40" s="6"/>
      <c r="T40" s="6"/>
      <c r="U40" s="6"/>
      <c r="V40" s="6"/>
      <c r="W40" s="6"/>
      <c r="X40" s="807" t="s">
        <v>162</v>
      </c>
      <c r="Y40" s="808" t="s">
        <v>14</v>
      </c>
      <c r="Z40" s="808" t="str">
        <f t="shared" si="8"/>
        <v>.7515"  to  1.0005"</v>
      </c>
      <c r="AA40" s="808">
        <v>250</v>
      </c>
      <c r="AB40" s="158">
        <v>140</v>
      </c>
      <c r="AC40" s="809">
        <f t="shared" si="9"/>
        <v>3840</v>
      </c>
      <c r="AD40" s="34"/>
      <c r="AE40" s="181"/>
      <c r="AF40" s="12"/>
      <c r="AG40" s="12"/>
      <c r="AH40" s="34"/>
      <c r="AI40" s="34"/>
      <c r="AJ40" s="34"/>
      <c r="AK40" s="799"/>
    </row>
    <row r="41" spans="1:37" s="9" customFormat="1" ht="16.5" thickBot="1" x14ac:dyDescent="0.3">
      <c r="A41"/>
      <c r="B41" s="351">
        <v>0.75149999999999995</v>
      </c>
      <c r="C41" s="351">
        <v>1.0004999999999999</v>
      </c>
      <c r="D41" s="5"/>
      <c r="E41" s="6"/>
      <c r="F41" s="6"/>
      <c r="G41" s="6"/>
      <c r="H41" s="750" t="str">
        <f t="shared" si="0"/>
        <v>L55</v>
      </c>
      <c r="I41" s="357" t="s">
        <v>163</v>
      </c>
      <c r="J41" s="759">
        <v>3435</v>
      </c>
      <c r="K41" s="751">
        <v>3840</v>
      </c>
      <c r="L41" s="752">
        <f t="shared" si="14"/>
        <v>405</v>
      </c>
      <c r="M41" s="373">
        <f t="shared" si="12"/>
        <v>0.11790393013100436</v>
      </c>
      <c r="N41" s="359">
        <f t="shared" si="13"/>
        <v>2304</v>
      </c>
      <c r="O41" s="6"/>
      <c r="P41" s="6"/>
      <c r="Q41" s="6"/>
      <c r="R41" s="6"/>
      <c r="S41" s="6"/>
      <c r="T41" s="6"/>
      <c r="U41" s="6"/>
      <c r="V41" s="6"/>
      <c r="W41" s="6"/>
      <c r="X41" s="166" t="s">
        <v>163</v>
      </c>
      <c r="Y41" s="168" t="s">
        <v>17</v>
      </c>
      <c r="Z41" s="171" t="str">
        <f t="shared" si="8"/>
        <v>.7515"  to  1.0005"</v>
      </c>
      <c r="AA41" s="168">
        <v>250</v>
      </c>
      <c r="AB41" s="169">
        <v>140</v>
      </c>
      <c r="AC41" s="178">
        <f t="shared" si="9"/>
        <v>3840</v>
      </c>
      <c r="AD41" s="34"/>
      <c r="AE41" s="12"/>
      <c r="AF41" s="12"/>
      <c r="AG41" s="12"/>
      <c r="AH41" s="34"/>
      <c r="AI41" s="34"/>
      <c r="AJ41" s="34"/>
      <c r="AK41" s="799"/>
    </row>
    <row r="42" spans="1:37" s="9" customFormat="1" ht="5.0999999999999996" customHeight="1" x14ac:dyDescent="0.25">
      <c r="A42"/>
      <c r="B42" s="385"/>
      <c r="C42" s="385"/>
      <c r="D42" s="5"/>
      <c r="E42" s="6"/>
      <c r="F42" s="6"/>
      <c r="G42" s="6"/>
      <c r="H42" s="6"/>
      <c r="I42" s="6"/>
      <c r="J42" s="6"/>
      <c r="K42" s="6"/>
      <c r="L42" s="563"/>
      <c r="M42" s="6"/>
      <c r="N42" s="6"/>
      <c r="O42" s="6"/>
      <c r="P42" s="6"/>
      <c r="Q42" s="6"/>
      <c r="R42" s="6"/>
      <c r="S42" s="6"/>
      <c r="T42" s="6"/>
      <c r="U42" s="6"/>
      <c r="V42" s="6"/>
      <c r="W42"/>
      <c r="X42" s="202"/>
      <c r="Y42" s="202"/>
      <c r="Z42" s="202"/>
      <c r="AA42" s="803"/>
      <c r="AB42" s="803"/>
      <c r="AC42" s="202"/>
      <c r="AD42" s="34"/>
      <c r="AE42" s="181"/>
      <c r="AF42" s="12"/>
      <c r="AG42" s="12"/>
      <c r="AH42" s="34"/>
      <c r="AI42" s="34"/>
      <c r="AJ42" s="34"/>
      <c r="AK42" s="799"/>
    </row>
    <row r="43" spans="1:37" s="9" customFormat="1" x14ac:dyDescent="0.25">
      <c r="A43"/>
      <c r="B43"/>
      <c r="C43"/>
      <c r="D43"/>
      <c r="E43"/>
      <c r="F43"/>
      <c r="G43"/>
      <c r="H43"/>
      <c r="I43"/>
      <c r="J43"/>
      <c r="K43"/>
      <c r="L43" s="564"/>
      <c r="M43"/>
      <c r="N43"/>
      <c r="O43"/>
      <c r="P43"/>
      <c r="Q43"/>
      <c r="R43"/>
      <c r="S43"/>
      <c r="T43"/>
      <c r="U43"/>
      <c r="V43"/>
      <c r="W43"/>
      <c r="X43" s="784" t="s">
        <v>654</v>
      </c>
      <c r="Y43" s="202"/>
      <c r="Z43" s="202"/>
      <c r="AA43" s="202"/>
      <c r="AB43" s="202"/>
      <c r="AC43" s="202"/>
      <c r="AD43" s="34"/>
      <c r="AE43" s="12"/>
      <c r="AF43" s="12"/>
      <c r="AG43" s="12"/>
      <c r="AH43" s="34"/>
      <c r="AI43" s="34"/>
      <c r="AJ43" s="34"/>
      <c r="AK43" s="799"/>
    </row>
    <row r="44" spans="1:37" ht="9.9499999999999993" customHeight="1" x14ac:dyDescent="0.25">
      <c r="B44" s="385"/>
      <c r="C44" s="385"/>
      <c r="D44" s="5"/>
      <c r="E44" s="6"/>
      <c r="F44" s="6"/>
      <c r="G44" s="6"/>
      <c r="H44" s="6"/>
      <c r="I44" s="6"/>
      <c r="J44" s="6"/>
      <c r="K44" s="6"/>
      <c r="L44" s="563"/>
      <c r="M44" s="6"/>
      <c r="N44" s="6"/>
      <c r="O44" s="6"/>
      <c r="P44" s="6"/>
      <c r="Q44" s="6"/>
      <c r="R44" s="6"/>
      <c r="S44" s="6"/>
      <c r="T44" s="6"/>
      <c r="U44" s="6"/>
      <c r="V44" s="6"/>
      <c r="X44" s="202"/>
      <c r="Y44" s="202"/>
      <c r="Z44" s="202"/>
      <c r="AA44" s="803"/>
      <c r="AB44" s="803"/>
      <c r="AC44" s="202"/>
      <c r="AD44" s="202"/>
      <c r="AE44" s="804"/>
      <c r="AF44" s="804"/>
      <c r="AG44" s="804"/>
      <c r="AH44" s="202"/>
      <c r="AI44" s="202"/>
      <c r="AJ44" s="202"/>
      <c r="AK44" s="9"/>
    </row>
    <row r="45" spans="1:37" x14ac:dyDescent="0.25">
      <c r="B45" s="385"/>
      <c r="C45" s="385"/>
      <c r="D45" s="5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X45" s="784" t="s">
        <v>969</v>
      </c>
      <c r="Y45" s="202"/>
      <c r="Z45" s="202"/>
      <c r="AA45" s="803"/>
      <c r="AB45" s="803"/>
      <c r="AC45" s="202"/>
      <c r="AD45" s="202"/>
      <c r="AE45" s="804"/>
      <c r="AF45" s="804"/>
      <c r="AG45" s="804"/>
      <c r="AH45" s="202"/>
      <c r="AI45" s="202"/>
      <c r="AJ45" s="202"/>
      <c r="AK45" s="9"/>
    </row>
    <row r="46" spans="1:37" s="72" customFormat="1" x14ac:dyDescent="0.25">
      <c r="B46" s="785"/>
      <c r="C46" s="785"/>
      <c r="D46" s="786"/>
      <c r="E46" s="662"/>
      <c r="F46" s="662"/>
      <c r="G46" s="662"/>
      <c r="H46" s="662"/>
      <c r="I46" s="662"/>
      <c r="J46" s="662"/>
      <c r="K46" s="662"/>
      <c r="L46" s="662"/>
      <c r="M46" s="662"/>
      <c r="N46" s="662"/>
      <c r="O46" s="662"/>
      <c r="P46" s="662"/>
      <c r="Q46" s="662"/>
      <c r="R46" s="662"/>
      <c r="S46" s="662"/>
      <c r="T46" s="662"/>
      <c r="U46" s="662"/>
      <c r="V46" s="662"/>
      <c r="X46" s="814"/>
      <c r="Y46" s="814"/>
      <c r="Z46" s="814"/>
      <c r="AA46" s="815"/>
      <c r="AB46" s="815"/>
      <c r="AC46" s="814"/>
      <c r="AD46" s="814"/>
      <c r="AE46" s="816"/>
      <c r="AF46" s="816"/>
      <c r="AG46" s="816"/>
      <c r="AH46" s="814"/>
      <c r="AI46" s="814"/>
      <c r="AJ46" s="814"/>
      <c r="AK46" s="444"/>
    </row>
    <row r="47" spans="1:37" x14ac:dyDescent="0.25">
      <c r="B47" s="385"/>
      <c r="C47" s="385"/>
      <c r="D47" s="5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X47" s="402" t="s">
        <v>688</v>
      </c>
      <c r="Y47" s="202"/>
      <c r="Z47" s="202"/>
      <c r="AA47" s="803"/>
      <c r="AB47" s="803"/>
      <c r="AC47" s="202"/>
      <c r="AD47" s="202"/>
      <c r="AE47" s="804"/>
      <c r="AF47" s="804"/>
      <c r="AG47" s="804"/>
      <c r="AH47" s="202"/>
      <c r="AI47" s="202"/>
      <c r="AJ47" s="202"/>
      <c r="AK47" s="9"/>
    </row>
    <row r="48" spans="1:37" s="9" customFormat="1" x14ac:dyDescent="0.25">
      <c r="A48"/>
      <c r="B48" s="385"/>
      <c r="C48" s="385"/>
      <c r="D48" s="5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179"/>
      <c r="Y48" s="179"/>
      <c r="Z48" s="34"/>
      <c r="AA48" s="180"/>
      <c r="AB48" s="180"/>
      <c r="AC48" s="202"/>
      <c r="AD48" s="34"/>
      <c r="AE48" s="202"/>
      <c r="AF48" s="202"/>
      <c r="AG48" s="202"/>
      <c r="AH48" s="202"/>
      <c r="AI48" s="202"/>
      <c r="AJ48" s="202"/>
    </row>
    <row r="49" spans="1:37" s="9" customFormat="1" x14ac:dyDescent="0.25">
      <c r="A49"/>
      <c r="B49" s="385"/>
      <c r="C49" s="385"/>
      <c r="D49" s="5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02"/>
      <c r="Y49" s="179"/>
      <c r="Z49" s="34"/>
      <c r="AA49" s="180"/>
      <c r="AB49" s="180"/>
      <c r="AC49" s="202"/>
      <c r="AD49" s="34"/>
      <c r="AE49" s="202"/>
      <c r="AF49" s="202"/>
      <c r="AG49" s="202"/>
      <c r="AH49" s="202"/>
      <c r="AI49" s="202"/>
      <c r="AJ49" s="202"/>
    </row>
    <row r="50" spans="1:37" s="9" customFormat="1" x14ac:dyDescent="0.25">
      <c r="A50"/>
      <c r="B50" s="385"/>
      <c r="C50" s="385"/>
      <c r="D50" s="5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179"/>
      <c r="Y50" s="179"/>
      <c r="Z50" s="34"/>
      <c r="AA50" s="180"/>
      <c r="AB50" s="180"/>
      <c r="AC50" s="202"/>
      <c r="AD50" s="34"/>
      <c r="AE50" s="202"/>
      <c r="AF50" s="202"/>
      <c r="AG50" s="202"/>
      <c r="AH50" s="202"/>
      <c r="AI50" s="202"/>
      <c r="AJ50" s="202"/>
      <c r="AK50"/>
    </row>
    <row r="51" spans="1:37" s="9" customFormat="1" x14ac:dyDescent="0.25">
      <c r="A51" s="46"/>
      <c r="B51" s="385"/>
      <c r="C51" s="385"/>
      <c r="D51" s="5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202"/>
      <c r="Y51" s="179"/>
      <c r="Z51" s="34"/>
      <c r="AA51" s="180"/>
      <c r="AB51" s="180"/>
      <c r="AC51" s="202"/>
      <c r="AD51" s="34"/>
      <c r="AE51" s="202"/>
      <c r="AF51" s="202"/>
      <c r="AG51" s="202"/>
      <c r="AH51" s="202"/>
      <c r="AI51" s="202"/>
      <c r="AJ51" s="202"/>
      <c r="AK51"/>
    </row>
    <row r="52" spans="1:37" s="9" customFormat="1" x14ac:dyDescent="0.25">
      <c r="A52"/>
      <c r="B52" s="385"/>
      <c r="C52" s="385"/>
      <c r="D52" s="5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/>
    </row>
    <row r="53" spans="1:37" ht="15" x14ac:dyDescent="0.25">
      <c r="B53" s="385"/>
      <c r="C53" s="385"/>
      <c r="D53" s="5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</row>
    <row r="54" spans="1:37" ht="15" x14ac:dyDescent="0.25">
      <c r="B54" s="385"/>
      <c r="C54" s="385"/>
      <c r="D54" s="5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</row>
    <row r="55" spans="1:37" ht="15" x14ac:dyDescent="0.25">
      <c r="B55" s="385"/>
      <c r="C55" s="385"/>
      <c r="D55" s="5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</row>
    <row r="56" spans="1:37" ht="15" x14ac:dyDescent="0.25">
      <c r="B56" s="385"/>
      <c r="C56" s="385"/>
      <c r="D56" s="5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</row>
    <row r="57" spans="1:37" ht="15" x14ac:dyDescent="0.25">
      <c r="B57" s="385"/>
      <c r="C57" s="385"/>
      <c r="D57" s="5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</row>
    <row r="58" spans="1:37" ht="15" x14ac:dyDescent="0.25">
      <c r="B58" s="385"/>
      <c r="C58" s="385"/>
      <c r="D58" s="5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</row>
    <row r="59" spans="1:37" ht="15" x14ac:dyDescent="0.25">
      <c r="B59" s="385"/>
      <c r="C59" s="385"/>
      <c r="D59" s="5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</row>
    <row r="60" spans="1:37" ht="15" x14ac:dyDescent="0.25">
      <c r="B60" s="385"/>
      <c r="C60" s="385"/>
      <c r="D60" s="5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</row>
    <row r="61" spans="1:37" ht="15" x14ac:dyDescent="0.25">
      <c r="B61" s="385"/>
      <c r="C61" s="385"/>
      <c r="D61" s="5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X61" s="202"/>
      <c r="Y61" s="202"/>
      <c r="Z61" s="202"/>
      <c r="AA61" s="202"/>
      <c r="AB61" s="202"/>
      <c r="AC61" s="202"/>
      <c r="AD61" s="202"/>
      <c r="AE61" s="804"/>
      <c r="AF61" s="804"/>
      <c r="AG61" s="804"/>
      <c r="AH61" s="202"/>
      <c r="AI61" s="202"/>
      <c r="AJ61" s="202"/>
    </row>
    <row r="62" spans="1:37" ht="15" x14ac:dyDescent="0.25">
      <c r="B62" s="385"/>
      <c r="C62" s="385"/>
      <c r="D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X62" s="202"/>
      <c r="Y62" s="202"/>
      <c r="Z62" s="202"/>
      <c r="AA62" s="202"/>
      <c r="AB62" s="202"/>
      <c r="AC62" s="202"/>
      <c r="AD62" s="202"/>
      <c r="AE62" s="804"/>
      <c r="AF62" s="804"/>
      <c r="AG62" s="804"/>
      <c r="AH62" s="202"/>
      <c r="AI62" s="202"/>
      <c r="AJ62" s="202"/>
    </row>
    <row r="63" spans="1:37" ht="15" x14ac:dyDescent="0.25">
      <c r="B63" s="385"/>
      <c r="C63" s="385"/>
      <c r="D63" s="5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AA63"/>
      <c r="AB63"/>
    </row>
  </sheetData>
  <sheetProtection algorithmName="SHA-512" hashValue="nLRnLsSmA+eIvJXZInWz/760HQbHEvnzVUIFt7QgAA2sJvENllulwQTcnNpP6aubnI7LkOxlBqTP3W451tGknA==" saltValue="k76FiuMG8laZLMpiJb6XmA==" spinCount="100000" sheet="1" objects="1" scenarios="1"/>
  <conditionalFormatting sqref="X4:X7 X11:X13 AE12:AE13 X43 X45 X48 X50">
    <cfRule type="expression" dxfId="35" priority="5">
      <formula>$X4="y"</formula>
    </cfRule>
  </conditionalFormatting>
  <conditionalFormatting sqref="Y4:Y7 X8:X10 Y11 Y48:Y51">
    <cfRule type="expression" dxfId="34" priority="4">
      <formula>#REF!="y"</formula>
    </cfRule>
  </conditionalFormatting>
  <conditionalFormatting sqref="AE26:AE27">
    <cfRule type="expression" dxfId="33" priority="6">
      <formula>$X35="y"</formula>
    </cfRule>
  </conditionalFormatting>
  <conditionalFormatting sqref="AG14:AG15 AI14:AI15 AE14:AE25 X14:X41 AG18:AG19 AI18:AI19 AG22:AG23 AI22:AI23 AF28 AF39:AF43">
    <cfRule type="expression" dxfId="32" priority="3">
      <formula>#REF!="y"</formula>
    </cfRule>
  </conditionalFormatting>
  <pageMargins left="0.25" right="0.25" top="0.75" bottom="0.75" header="0.3" footer="0.3"/>
  <pageSetup scale="9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6F70B-A639-4FB2-828D-EEDCAD507459}">
  <sheetPr codeName="Sheet11">
    <outlinePr summaryBelow="0"/>
    <pageSetUpPr fitToPage="1"/>
  </sheetPr>
  <dimension ref="A1:AH55"/>
  <sheetViews>
    <sheetView showGridLines="0" zoomScale="90" zoomScaleNormal="90" workbookViewId="0">
      <selection activeCell="M55" sqref="M55"/>
    </sheetView>
  </sheetViews>
  <sheetFormatPr defaultRowHeight="15" outlineLevelRow="1" outlineLevelCol="1" x14ac:dyDescent="0.25"/>
  <cols>
    <col min="1" max="1" width="2.7109375" customWidth="1"/>
    <col min="2" max="2" width="11.42578125" hidden="1" customWidth="1" outlineLevel="1"/>
    <col min="3" max="3" width="10.140625" hidden="1" customWidth="1" outlineLevel="1"/>
    <col min="4" max="4" width="2.7109375" hidden="1" customWidth="1" outlineLevel="1"/>
    <col min="5" max="10" width="11.140625" hidden="1" customWidth="1" outlineLevel="1"/>
    <col min="11" max="11" width="8.85546875" hidden="1" customWidth="1" outlineLevel="1"/>
    <col min="12" max="12" width="1.7109375" hidden="1" customWidth="1" outlineLevel="1"/>
    <col min="13" max="13" width="19.7109375" customWidth="1" collapsed="1"/>
    <col min="14" max="14" width="19" customWidth="1"/>
    <col min="15" max="15" width="21" customWidth="1"/>
    <col min="16" max="16" width="16.5703125" customWidth="1"/>
    <col min="17" max="17" width="15.85546875" customWidth="1"/>
    <col min="18" max="18" width="16.140625" customWidth="1"/>
  </cols>
  <sheetData>
    <row r="1" spans="1:34" ht="9.9499999999999993" customHeight="1" x14ac:dyDescent="0.25"/>
    <row r="2" spans="1:34" ht="21" collapsed="1" x14ac:dyDescent="0.35">
      <c r="B2" s="28"/>
      <c r="M2" s="1" t="s">
        <v>87</v>
      </c>
    </row>
    <row r="3" spans="1:34" hidden="1" outlineLevel="1" x14ac:dyDescent="0.25">
      <c r="B3" s="574" t="s">
        <v>859</v>
      </c>
      <c r="C3" s="574" t="s">
        <v>860</v>
      </c>
    </row>
    <row r="4" spans="1:34" s="9" customFormat="1" ht="15.75" hidden="1" outlineLevel="1" x14ac:dyDescent="0.25">
      <c r="A4"/>
      <c r="B4" s="2">
        <v>160</v>
      </c>
      <c r="C4" s="2" t="s">
        <v>666</v>
      </c>
      <c r="D4" s="25"/>
      <c r="E4" s="26"/>
      <c r="F4" s="26"/>
      <c r="G4" s="26"/>
      <c r="H4" s="37" t="s">
        <v>726</v>
      </c>
      <c r="I4"/>
      <c r="J4"/>
      <c r="K4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Y4" s="8"/>
      <c r="Z4" s="8"/>
      <c r="AB4" s="29"/>
      <c r="AC4" s="29"/>
      <c r="AF4" s="7"/>
      <c r="AG4" s="7"/>
      <c r="AH4" s="7"/>
    </row>
    <row r="6" spans="1:34" x14ac:dyDescent="0.25">
      <c r="D6" s="400"/>
      <c r="H6" s="396" t="s">
        <v>635</v>
      </c>
      <c r="I6" s="400" t="s">
        <v>640</v>
      </c>
      <c r="M6" s="396" t="str">
        <f>_xlfn.CONCAT($H$6,"  ",I6)</f>
        <v>•  Class X (.00004" tolerance)</v>
      </c>
    </row>
    <row r="7" spans="1:34" x14ac:dyDescent="0.25">
      <c r="D7" s="400"/>
      <c r="H7" s="396"/>
      <c r="I7" s="400" t="s">
        <v>631</v>
      </c>
      <c r="M7" s="396" t="str">
        <f>_xlfn.CONCAT($H$6,"  ",I7)</f>
        <v>•  Go (Plus) or NoGo (Minus)</v>
      </c>
    </row>
    <row r="8" spans="1:34" x14ac:dyDescent="0.25">
      <c r="D8" s="400"/>
      <c r="I8" s="400" t="s">
        <v>641</v>
      </c>
      <c r="M8" s="396" t="str">
        <f>_xlfn.CONCAT($H$6,"  ",I8)</f>
        <v>•  .001" increments</v>
      </c>
      <c r="N8" s="396"/>
    </row>
    <row r="9" spans="1:34" ht="15.75" thickBot="1" x14ac:dyDescent="0.3">
      <c r="M9" s="34"/>
      <c r="N9" s="34"/>
      <c r="O9" s="34"/>
      <c r="P9" s="34"/>
      <c r="Q9" s="34"/>
      <c r="R9" s="34"/>
    </row>
    <row r="10" spans="1:34" x14ac:dyDescent="0.25">
      <c r="B10" s="21" t="s">
        <v>624</v>
      </c>
      <c r="C10" s="3"/>
      <c r="D10" s="3"/>
      <c r="J10" s="5"/>
      <c r="K10" s="5"/>
      <c r="M10" s="592" t="s">
        <v>666</v>
      </c>
      <c r="N10" s="595"/>
      <c r="O10" s="595"/>
      <c r="P10" s="595"/>
      <c r="Q10" s="595"/>
      <c r="R10" s="596"/>
    </row>
    <row r="11" spans="1:34" ht="15.75" x14ac:dyDescent="0.25">
      <c r="B11" s="20" t="s">
        <v>6</v>
      </c>
      <c r="C11" s="19"/>
      <c r="E11" s="523" t="s">
        <v>9</v>
      </c>
      <c r="F11" s="363" t="s">
        <v>622</v>
      </c>
      <c r="G11" s="363" t="s">
        <v>623</v>
      </c>
      <c r="H11" s="364" t="s">
        <v>626</v>
      </c>
      <c r="I11" s="361"/>
      <c r="J11" s="365">
        <v>0.25</v>
      </c>
      <c r="K11" s="374"/>
      <c r="M11" s="145" t="s">
        <v>9</v>
      </c>
      <c r="N11" s="146" t="s">
        <v>10</v>
      </c>
      <c r="O11" s="147" t="s">
        <v>3</v>
      </c>
      <c r="P11" s="146" t="s">
        <v>11</v>
      </c>
      <c r="Q11" s="147" t="s">
        <v>12</v>
      </c>
      <c r="R11" s="148" t="s">
        <v>568</v>
      </c>
    </row>
    <row r="12" spans="1:34" x14ac:dyDescent="0.25">
      <c r="B12" s="351">
        <v>1.0999999999999999E-2</v>
      </c>
      <c r="C12" s="351">
        <v>0.06</v>
      </c>
      <c r="D12" s="351"/>
      <c r="E12" s="13" t="s">
        <v>88</v>
      </c>
      <c r="F12" s="764">
        <v>650</v>
      </c>
      <c r="G12" s="768">
        <v>780</v>
      </c>
      <c r="H12" s="565">
        <f>IF(G12=0,0,G12-F12)</f>
        <v>130</v>
      </c>
      <c r="I12" s="349">
        <f>H12/F12</f>
        <v>0.2</v>
      </c>
      <c r="J12" s="366">
        <f>IFERROR(((1-$J$11)*G12),0)</f>
        <v>585</v>
      </c>
      <c r="K12" s="6"/>
      <c r="M12" s="129" t="s">
        <v>88</v>
      </c>
      <c r="N12" s="151" t="s">
        <v>14</v>
      </c>
      <c r="O12" s="152" t="str">
        <f>_xlfn.CONCAT(TEXT($B12,"#.000#"),"""","  to  ",TEXT($C12,"#.000#"),"""")</f>
        <v>.011"  to  .060"</v>
      </c>
      <c r="P12" s="151">
        <v>50</v>
      </c>
      <c r="Q12" s="153">
        <v>1</v>
      </c>
      <c r="R12" s="154">
        <f>$G12</f>
        <v>780</v>
      </c>
    </row>
    <row r="13" spans="1:34" x14ac:dyDescent="0.25">
      <c r="B13" s="351">
        <v>1.0999999999999999E-2</v>
      </c>
      <c r="C13" s="351">
        <v>0.06</v>
      </c>
      <c r="D13" s="351"/>
      <c r="E13" s="13" t="s">
        <v>89</v>
      </c>
      <c r="F13" s="765">
        <v>650</v>
      </c>
      <c r="G13" s="769">
        <v>780</v>
      </c>
      <c r="H13" s="565">
        <f t="shared" ref="H13:H47" si="0">IF(G13=0,0,G13-F13)</f>
        <v>130</v>
      </c>
      <c r="I13" s="349">
        <f t="shared" ref="I13:I47" si="1">H13/F13</f>
        <v>0.2</v>
      </c>
      <c r="J13" s="367">
        <f t="shared" ref="J13:J47" si="2">IFERROR(((1-$J$11)*G13),0)</f>
        <v>585</v>
      </c>
      <c r="K13" s="6"/>
      <c r="M13" s="129" t="s">
        <v>89</v>
      </c>
      <c r="N13" s="151" t="s">
        <v>17</v>
      </c>
      <c r="O13" s="152" t="str">
        <f t="shared" ref="O13:O47" si="3">_xlfn.CONCAT(TEXT($B13,"#.000#"),"""","  to  ",TEXT($C13,"#.000#"),"""")</f>
        <v>.011"  to  .060"</v>
      </c>
      <c r="P13" s="151">
        <v>50</v>
      </c>
      <c r="Q13" s="153">
        <v>1</v>
      </c>
      <c r="R13" s="155">
        <f t="shared" ref="R13:R47" si="4">$G13</f>
        <v>780</v>
      </c>
    </row>
    <row r="14" spans="1:34" x14ac:dyDescent="0.25">
      <c r="B14" s="351">
        <v>1.15E-2</v>
      </c>
      <c r="C14" s="351">
        <v>6.0499999999999998E-2</v>
      </c>
      <c r="D14" s="351"/>
      <c r="E14" s="762" t="s">
        <v>90</v>
      </c>
      <c r="F14" s="766">
        <v>650</v>
      </c>
      <c r="G14" s="770">
        <v>800</v>
      </c>
      <c r="H14" s="763">
        <f t="shared" si="0"/>
        <v>150</v>
      </c>
      <c r="I14" s="356">
        <f t="shared" si="1"/>
        <v>0.23076923076923078</v>
      </c>
      <c r="J14" s="368">
        <f t="shared" si="2"/>
        <v>600</v>
      </c>
      <c r="K14" s="6"/>
      <c r="M14" s="156" t="s">
        <v>90</v>
      </c>
      <c r="N14" s="157" t="s">
        <v>14</v>
      </c>
      <c r="O14" s="157" t="str">
        <f t="shared" si="3"/>
        <v>.0115"  to  .0605"</v>
      </c>
      <c r="P14" s="157">
        <v>50</v>
      </c>
      <c r="Q14" s="158">
        <v>1</v>
      </c>
      <c r="R14" s="159">
        <f t="shared" si="4"/>
        <v>800</v>
      </c>
    </row>
    <row r="15" spans="1:34" x14ac:dyDescent="0.25">
      <c r="B15" s="351">
        <v>1.15E-2</v>
      </c>
      <c r="C15" s="351">
        <v>6.0499999999999998E-2</v>
      </c>
      <c r="D15" s="351"/>
      <c r="E15" s="761" t="s">
        <v>91</v>
      </c>
      <c r="F15" s="767">
        <v>650</v>
      </c>
      <c r="G15" s="771">
        <v>800</v>
      </c>
      <c r="H15" s="760">
        <f t="shared" si="0"/>
        <v>150</v>
      </c>
      <c r="I15" s="360">
        <f t="shared" si="1"/>
        <v>0.23076923076923078</v>
      </c>
      <c r="J15" s="369">
        <f t="shared" si="2"/>
        <v>600</v>
      </c>
      <c r="K15" s="6"/>
      <c r="M15" s="160" t="s">
        <v>91</v>
      </c>
      <c r="N15" s="161" t="s">
        <v>17</v>
      </c>
      <c r="O15" s="162" t="str">
        <f t="shared" si="3"/>
        <v>.0115"  to  .0605"</v>
      </c>
      <c r="P15" s="161">
        <v>50</v>
      </c>
      <c r="Q15" s="163">
        <v>1</v>
      </c>
      <c r="R15" s="164">
        <f t="shared" si="4"/>
        <v>800</v>
      </c>
    </row>
    <row r="16" spans="1:34" x14ac:dyDescent="0.25">
      <c r="B16" s="351">
        <v>1.0999999999999999E-2</v>
      </c>
      <c r="C16" s="351">
        <v>0.25</v>
      </c>
      <c r="D16" s="351"/>
      <c r="E16" s="13" t="s">
        <v>96</v>
      </c>
      <c r="F16" s="765">
        <v>2260</v>
      </c>
      <c r="G16" s="769">
        <v>2620</v>
      </c>
      <c r="H16" s="565">
        <f t="shared" si="0"/>
        <v>360</v>
      </c>
      <c r="I16" s="349">
        <f t="shared" si="1"/>
        <v>0.15929203539823009</v>
      </c>
      <c r="J16" s="367">
        <f t="shared" si="2"/>
        <v>1965</v>
      </c>
      <c r="M16" s="129" t="s">
        <v>96</v>
      </c>
      <c r="N16" s="151" t="s">
        <v>14</v>
      </c>
      <c r="O16" s="152" t="str">
        <f t="shared" si="3"/>
        <v>.011"  to  .250"</v>
      </c>
      <c r="P16" s="151">
        <v>240</v>
      </c>
      <c r="Q16" s="153">
        <v>7</v>
      </c>
      <c r="R16" s="155">
        <f t="shared" si="4"/>
        <v>2620</v>
      </c>
    </row>
    <row r="17" spans="2:18" x14ac:dyDescent="0.25">
      <c r="B17" s="351">
        <v>1.0999999999999999E-2</v>
      </c>
      <c r="C17" s="351">
        <v>0.25</v>
      </c>
      <c r="D17" s="351"/>
      <c r="E17" s="13" t="s">
        <v>97</v>
      </c>
      <c r="F17" s="765">
        <v>2260</v>
      </c>
      <c r="G17" s="769">
        <v>2620</v>
      </c>
      <c r="H17" s="565">
        <f t="shared" si="0"/>
        <v>360</v>
      </c>
      <c r="I17" s="349">
        <f t="shared" si="1"/>
        <v>0.15929203539823009</v>
      </c>
      <c r="J17" s="367">
        <f t="shared" si="2"/>
        <v>1965</v>
      </c>
      <c r="M17" s="129" t="s">
        <v>97</v>
      </c>
      <c r="N17" s="151" t="s">
        <v>17</v>
      </c>
      <c r="O17" s="152" t="str">
        <f t="shared" si="3"/>
        <v>.011"  to  .250"</v>
      </c>
      <c r="P17" s="151">
        <v>240</v>
      </c>
      <c r="Q17" s="153">
        <v>7</v>
      </c>
      <c r="R17" s="155">
        <f t="shared" si="4"/>
        <v>2620</v>
      </c>
    </row>
    <row r="18" spans="2:18" x14ac:dyDescent="0.25">
      <c r="B18" s="351">
        <v>1.15E-2</v>
      </c>
      <c r="C18" s="351">
        <v>0.2505</v>
      </c>
      <c r="D18" s="351"/>
      <c r="E18" s="762" t="s">
        <v>98</v>
      </c>
      <c r="F18" s="766">
        <v>2260</v>
      </c>
      <c r="G18" s="770">
        <v>2640</v>
      </c>
      <c r="H18" s="763">
        <f t="shared" si="0"/>
        <v>380</v>
      </c>
      <c r="I18" s="356">
        <f t="shared" si="1"/>
        <v>0.16814159292035399</v>
      </c>
      <c r="J18" s="368">
        <f t="shared" si="2"/>
        <v>1980</v>
      </c>
      <c r="M18" s="156" t="s">
        <v>98</v>
      </c>
      <c r="N18" s="157" t="s">
        <v>14</v>
      </c>
      <c r="O18" s="157" t="str">
        <f t="shared" si="3"/>
        <v>.0115"  to  .2505"</v>
      </c>
      <c r="P18" s="157">
        <v>240</v>
      </c>
      <c r="Q18" s="158">
        <v>7</v>
      </c>
      <c r="R18" s="159">
        <f t="shared" si="4"/>
        <v>2640</v>
      </c>
    </row>
    <row r="19" spans="2:18" x14ac:dyDescent="0.25">
      <c r="B19" s="351">
        <v>1.15E-2</v>
      </c>
      <c r="C19" s="351">
        <v>0.2505</v>
      </c>
      <c r="D19" s="351"/>
      <c r="E19" s="761" t="s">
        <v>99</v>
      </c>
      <c r="F19" s="767">
        <v>2260</v>
      </c>
      <c r="G19" s="771">
        <v>2640</v>
      </c>
      <c r="H19" s="760">
        <f t="shared" si="0"/>
        <v>380</v>
      </c>
      <c r="I19" s="360">
        <f t="shared" si="1"/>
        <v>0.16814159292035399</v>
      </c>
      <c r="J19" s="369">
        <f t="shared" si="2"/>
        <v>1980</v>
      </c>
      <c r="M19" s="160" t="s">
        <v>99</v>
      </c>
      <c r="N19" s="161" t="s">
        <v>17</v>
      </c>
      <c r="O19" s="162" t="str">
        <f t="shared" si="3"/>
        <v>.0115"  to  .2505"</v>
      </c>
      <c r="P19" s="161">
        <v>240</v>
      </c>
      <c r="Q19" s="163">
        <v>7</v>
      </c>
      <c r="R19" s="164">
        <f t="shared" si="4"/>
        <v>2640</v>
      </c>
    </row>
    <row r="20" spans="2:18" x14ac:dyDescent="0.25">
      <c r="B20" s="351">
        <v>6.0999999999999999E-2</v>
      </c>
      <c r="C20" s="351">
        <v>0.25</v>
      </c>
      <c r="D20" s="351"/>
      <c r="E20" s="13" t="s">
        <v>92</v>
      </c>
      <c r="F20" s="765">
        <v>1710</v>
      </c>
      <c r="G20" s="769">
        <v>1950</v>
      </c>
      <c r="H20" s="565">
        <f t="shared" si="0"/>
        <v>240</v>
      </c>
      <c r="I20" s="349">
        <f t="shared" si="1"/>
        <v>0.14035087719298245</v>
      </c>
      <c r="J20" s="367">
        <f t="shared" si="2"/>
        <v>1462.5</v>
      </c>
      <c r="K20" s="6"/>
      <c r="M20" s="129" t="s">
        <v>92</v>
      </c>
      <c r="N20" s="151" t="s">
        <v>14</v>
      </c>
      <c r="O20" s="152" t="str">
        <f t="shared" si="3"/>
        <v>.061"  to  .250"</v>
      </c>
      <c r="P20" s="151">
        <v>190</v>
      </c>
      <c r="Q20" s="153">
        <v>7</v>
      </c>
      <c r="R20" s="155">
        <f t="shared" si="4"/>
        <v>1950</v>
      </c>
    </row>
    <row r="21" spans="2:18" x14ac:dyDescent="0.25">
      <c r="B21" s="351">
        <v>6.0999999999999999E-2</v>
      </c>
      <c r="C21" s="351">
        <v>0.25</v>
      </c>
      <c r="D21" s="351"/>
      <c r="E21" s="13" t="s">
        <v>93</v>
      </c>
      <c r="F21" s="765">
        <v>1710</v>
      </c>
      <c r="G21" s="769">
        <v>1950</v>
      </c>
      <c r="H21" s="565">
        <f t="shared" si="0"/>
        <v>240</v>
      </c>
      <c r="I21" s="349">
        <f t="shared" si="1"/>
        <v>0.14035087719298245</v>
      </c>
      <c r="J21" s="367">
        <f t="shared" si="2"/>
        <v>1462.5</v>
      </c>
      <c r="K21" s="6"/>
      <c r="M21" s="129" t="s">
        <v>93</v>
      </c>
      <c r="N21" s="151" t="s">
        <v>17</v>
      </c>
      <c r="O21" s="152" t="str">
        <f t="shared" si="3"/>
        <v>.061"  to  .250"</v>
      </c>
      <c r="P21" s="151">
        <v>190</v>
      </c>
      <c r="Q21" s="153">
        <v>7</v>
      </c>
      <c r="R21" s="155">
        <f t="shared" si="4"/>
        <v>1950</v>
      </c>
    </row>
    <row r="22" spans="2:18" x14ac:dyDescent="0.25">
      <c r="B22" s="351">
        <v>6.1499999999999999E-2</v>
      </c>
      <c r="C22" s="351">
        <v>0.2505</v>
      </c>
      <c r="D22" s="351"/>
      <c r="E22" s="762" t="s">
        <v>94</v>
      </c>
      <c r="F22" s="766">
        <v>1710</v>
      </c>
      <c r="G22" s="770">
        <v>1970</v>
      </c>
      <c r="H22" s="763">
        <f t="shared" si="0"/>
        <v>260</v>
      </c>
      <c r="I22" s="356">
        <f t="shared" si="1"/>
        <v>0.15204678362573099</v>
      </c>
      <c r="J22" s="368">
        <f t="shared" si="2"/>
        <v>1477.5</v>
      </c>
      <c r="K22" s="6"/>
      <c r="M22" s="156" t="s">
        <v>94</v>
      </c>
      <c r="N22" s="157" t="s">
        <v>14</v>
      </c>
      <c r="O22" s="157" t="str">
        <f t="shared" si="3"/>
        <v>.0615"  to  .2505"</v>
      </c>
      <c r="P22" s="157">
        <v>190</v>
      </c>
      <c r="Q22" s="158">
        <v>7</v>
      </c>
      <c r="R22" s="159">
        <f t="shared" si="4"/>
        <v>1970</v>
      </c>
    </row>
    <row r="23" spans="2:18" x14ac:dyDescent="0.25">
      <c r="B23" s="351">
        <v>6.1499999999999999E-2</v>
      </c>
      <c r="C23" s="351">
        <v>0.2505</v>
      </c>
      <c r="D23" s="351"/>
      <c r="E23" s="761" t="s">
        <v>95</v>
      </c>
      <c r="F23" s="767">
        <v>1710</v>
      </c>
      <c r="G23" s="771">
        <v>1970</v>
      </c>
      <c r="H23" s="760">
        <f t="shared" si="0"/>
        <v>260</v>
      </c>
      <c r="I23" s="360">
        <f t="shared" si="1"/>
        <v>0.15204678362573099</v>
      </c>
      <c r="J23" s="369">
        <f t="shared" si="2"/>
        <v>1477.5</v>
      </c>
      <c r="K23" s="6"/>
      <c r="M23" s="160" t="s">
        <v>95</v>
      </c>
      <c r="N23" s="161" t="s">
        <v>17</v>
      </c>
      <c r="O23" s="162" t="str">
        <f t="shared" si="3"/>
        <v>.0615"  to  .2505"</v>
      </c>
      <c r="P23" s="161">
        <v>190</v>
      </c>
      <c r="Q23" s="163">
        <v>7</v>
      </c>
      <c r="R23" s="164">
        <f t="shared" si="4"/>
        <v>1970</v>
      </c>
    </row>
    <row r="24" spans="2:18" x14ac:dyDescent="0.25">
      <c r="B24" s="351">
        <v>0.251</v>
      </c>
      <c r="C24" s="351">
        <v>0.5</v>
      </c>
      <c r="D24" s="351"/>
      <c r="E24" s="13" t="s">
        <v>100</v>
      </c>
      <c r="F24" s="765">
        <v>2260</v>
      </c>
      <c r="G24" s="769">
        <v>2480</v>
      </c>
      <c r="H24" s="565">
        <f t="shared" si="0"/>
        <v>220</v>
      </c>
      <c r="I24" s="349">
        <f t="shared" si="1"/>
        <v>9.7345132743362831E-2</v>
      </c>
      <c r="J24" s="367">
        <f t="shared" si="2"/>
        <v>1860</v>
      </c>
      <c r="M24" s="129" t="s">
        <v>100</v>
      </c>
      <c r="N24" s="151" t="s">
        <v>14</v>
      </c>
      <c r="O24" s="152" t="str">
        <f t="shared" si="3"/>
        <v>.251"  to  .500"</v>
      </c>
      <c r="P24" s="151">
        <v>250</v>
      </c>
      <c r="Q24" s="153">
        <v>23</v>
      </c>
      <c r="R24" s="155">
        <f t="shared" si="4"/>
        <v>2480</v>
      </c>
    </row>
    <row r="25" spans="2:18" x14ac:dyDescent="0.25">
      <c r="B25" s="351">
        <v>0.251</v>
      </c>
      <c r="C25" s="351">
        <v>0.5</v>
      </c>
      <c r="D25" s="351"/>
      <c r="E25" s="13" t="s">
        <v>101</v>
      </c>
      <c r="F25" s="765">
        <v>2260</v>
      </c>
      <c r="G25" s="769">
        <v>2480</v>
      </c>
      <c r="H25" s="565">
        <f t="shared" si="0"/>
        <v>220</v>
      </c>
      <c r="I25" s="349">
        <f t="shared" si="1"/>
        <v>9.7345132743362831E-2</v>
      </c>
      <c r="J25" s="367">
        <f t="shared" si="2"/>
        <v>1860</v>
      </c>
      <c r="M25" s="129" t="s">
        <v>101</v>
      </c>
      <c r="N25" s="151" t="s">
        <v>17</v>
      </c>
      <c r="O25" s="152" t="str">
        <f t="shared" si="3"/>
        <v>.251"  to  .500"</v>
      </c>
      <c r="P25" s="151">
        <v>250</v>
      </c>
      <c r="Q25" s="153">
        <v>23</v>
      </c>
      <c r="R25" s="155">
        <f t="shared" si="4"/>
        <v>2480</v>
      </c>
    </row>
    <row r="26" spans="2:18" x14ac:dyDescent="0.25">
      <c r="B26" s="351">
        <v>0.2515</v>
      </c>
      <c r="C26" s="351">
        <v>0.50049999999999994</v>
      </c>
      <c r="D26" s="351"/>
      <c r="E26" s="762" t="s">
        <v>102</v>
      </c>
      <c r="F26" s="766">
        <v>2260</v>
      </c>
      <c r="G26" s="770">
        <v>2500</v>
      </c>
      <c r="H26" s="763">
        <f t="shared" si="0"/>
        <v>240</v>
      </c>
      <c r="I26" s="356">
        <f t="shared" si="1"/>
        <v>0.10619469026548672</v>
      </c>
      <c r="J26" s="368">
        <f t="shared" si="2"/>
        <v>1875</v>
      </c>
      <c r="M26" s="156" t="s">
        <v>102</v>
      </c>
      <c r="N26" s="157" t="s">
        <v>14</v>
      </c>
      <c r="O26" s="157" t="str">
        <f t="shared" si="3"/>
        <v>.2515"  to  .5005"</v>
      </c>
      <c r="P26" s="157">
        <v>250</v>
      </c>
      <c r="Q26" s="158">
        <v>23</v>
      </c>
      <c r="R26" s="159">
        <f t="shared" si="4"/>
        <v>2500</v>
      </c>
    </row>
    <row r="27" spans="2:18" x14ac:dyDescent="0.25">
      <c r="B27" s="351">
        <v>0.2515</v>
      </c>
      <c r="C27" s="351">
        <v>0.50049999999999994</v>
      </c>
      <c r="D27" s="351"/>
      <c r="E27" s="761" t="s">
        <v>103</v>
      </c>
      <c r="F27" s="767">
        <v>2260</v>
      </c>
      <c r="G27" s="771">
        <v>2500</v>
      </c>
      <c r="H27" s="760">
        <f t="shared" si="0"/>
        <v>240</v>
      </c>
      <c r="I27" s="360">
        <f t="shared" si="1"/>
        <v>0.10619469026548672</v>
      </c>
      <c r="J27" s="369">
        <f t="shared" si="2"/>
        <v>1875</v>
      </c>
      <c r="M27" s="160" t="s">
        <v>103</v>
      </c>
      <c r="N27" s="161" t="s">
        <v>17</v>
      </c>
      <c r="O27" s="162" t="str">
        <f t="shared" si="3"/>
        <v>.2515"  to  .5005"</v>
      </c>
      <c r="P27" s="161">
        <v>250</v>
      </c>
      <c r="Q27" s="163">
        <v>23</v>
      </c>
      <c r="R27" s="164">
        <f t="shared" si="4"/>
        <v>2500</v>
      </c>
    </row>
    <row r="28" spans="2:18" x14ac:dyDescent="0.25">
      <c r="B28" s="351">
        <v>0.501</v>
      </c>
      <c r="C28" s="351">
        <v>0.625</v>
      </c>
      <c r="D28" s="351"/>
      <c r="E28" s="13" t="s">
        <v>104</v>
      </c>
      <c r="F28" s="765">
        <v>1920</v>
      </c>
      <c r="G28" s="769">
        <v>2080</v>
      </c>
      <c r="H28" s="565">
        <f t="shared" si="0"/>
        <v>160</v>
      </c>
      <c r="I28" s="349">
        <f t="shared" si="1"/>
        <v>8.3333333333333329E-2</v>
      </c>
      <c r="J28" s="367">
        <f t="shared" si="2"/>
        <v>1560</v>
      </c>
      <c r="M28" s="129" t="s">
        <v>104</v>
      </c>
      <c r="N28" s="151" t="s">
        <v>14</v>
      </c>
      <c r="O28" s="152" t="str">
        <f t="shared" si="3"/>
        <v>.501"  to  .625"</v>
      </c>
      <c r="P28" s="151">
        <v>125</v>
      </c>
      <c r="Q28" s="153">
        <v>24</v>
      </c>
      <c r="R28" s="155">
        <f t="shared" si="4"/>
        <v>2080</v>
      </c>
    </row>
    <row r="29" spans="2:18" x14ac:dyDescent="0.25">
      <c r="B29" s="351">
        <v>0.501</v>
      </c>
      <c r="C29" s="351">
        <v>0.625</v>
      </c>
      <c r="D29" s="351"/>
      <c r="E29" s="13" t="s">
        <v>105</v>
      </c>
      <c r="F29" s="765">
        <v>1920</v>
      </c>
      <c r="G29" s="769">
        <v>2080</v>
      </c>
      <c r="H29" s="565">
        <f t="shared" si="0"/>
        <v>160</v>
      </c>
      <c r="I29" s="349">
        <f t="shared" si="1"/>
        <v>8.3333333333333329E-2</v>
      </c>
      <c r="J29" s="367">
        <f t="shared" si="2"/>
        <v>1560</v>
      </c>
      <c r="M29" s="129" t="s">
        <v>105</v>
      </c>
      <c r="N29" s="151" t="s">
        <v>17</v>
      </c>
      <c r="O29" s="152" t="str">
        <f t="shared" si="3"/>
        <v>.501"  to  .625"</v>
      </c>
      <c r="P29" s="151">
        <v>125</v>
      </c>
      <c r="Q29" s="153">
        <v>24</v>
      </c>
      <c r="R29" s="155">
        <f t="shared" si="4"/>
        <v>2080</v>
      </c>
    </row>
    <row r="30" spans="2:18" x14ac:dyDescent="0.25">
      <c r="B30" s="351">
        <v>0.50149999999999995</v>
      </c>
      <c r="C30" s="351">
        <v>0.62549999999999994</v>
      </c>
      <c r="D30" s="351"/>
      <c r="E30" s="762" t="s">
        <v>106</v>
      </c>
      <c r="F30" s="766">
        <v>1920</v>
      </c>
      <c r="G30" s="770">
        <v>2100</v>
      </c>
      <c r="H30" s="763">
        <f t="shared" si="0"/>
        <v>180</v>
      </c>
      <c r="I30" s="356">
        <f t="shared" si="1"/>
        <v>9.375E-2</v>
      </c>
      <c r="J30" s="368">
        <f t="shared" si="2"/>
        <v>1575</v>
      </c>
      <c r="M30" s="156" t="s">
        <v>106</v>
      </c>
      <c r="N30" s="157" t="s">
        <v>14</v>
      </c>
      <c r="O30" s="157" t="str">
        <f t="shared" si="3"/>
        <v>.5015"  to  .6255"</v>
      </c>
      <c r="P30" s="157">
        <v>125</v>
      </c>
      <c r="Q30" s="158">
        <v>24</v>
      </c>
      <c r="R30" s="159">
        <f t="shared" si="4"/>
        <v>2100</v>
      </c>
    </row>
    <row r="31" spans="2:18" x14ac:dyDescent="0.25">
      <c r="B31" s="351">
        <v>0.50149999999999995</v>
      </c>
      <c r="C31" s="351">
        <v>0.62549999999999994</v>
      </c>
      <c r="D31" s="351"/>
      <c r="E31" s="761" t="s">
        <v>107</v>
      </c>
      <c r="F31" s="767">
        <v>1920</v>
      </c>
      <c r="G31" s="771">
        <v>2100</v>
      </c>
      <c r="H31" s="760">
        <f t="shared" si="0"/>
        <v>180</v>
      </c>
      <c r="I31" s="360">
        <f t="shared" si="1"/>
        <v>9.375E-2</v>
      </c>
      <c r="J31" s="369">
        <f t="shared" si="2"/>
        <v>1575</v>
      </c>
      <c r="M31" s="160" t="s">
        <v>107</v>
      </c>
      <c r="N31" s="161" t="s">
        <v>17</v>
      </c>
      <c r="O31" s="162" t="str">
        <f t="shared" si="3"/>
        <v>.5015"  to  .6255"</v>
      </c>
      <c r="P31" s="161">
        <v>125</v>
      </c>
      <c r="Q31" s="163">
        <v>24</v>
      </c>
      <c r="R31" s="164">
        <f t="shared" si="4"/>
        <v>2100</v>
      </c>
    </row>
    <row r="32" spans="2:18" x14ac:dyDescent="0.25">
      <c r="B32" s="351">
        <v>0.626</v>
      </c>
      <c r="C32" s="351">
        <v>0.75</v>
      </c>
      <c r="D32" s="351"/>
      <c r="E32" s="13" t="s">
        <v>108</v>
      </c>
      <c r="F32" s="765">
        <v>2035</v>
      </c>
      <c r="G32" s="769">
        <v>2190</v>
      </c>
      <c r="H32" s="565">
        <f t="shared" si="0"/>
        <v>155</v>
      </c>
      <c r="I32" s="349">
        <f t="shared" si="1"/>
        <v>7.6167076167076173E-2</v>
      </c>
      <c r="J32" s="367">
        <f t="shared" si="2"/>
        <v>1642.5</v>
      </c>
      <c r="M32" s="129" t="s">
        <v>108</v>
      </c>
      <c r="N32" s="151" t="s">
        <v>14</v>
      </c>
      <c r="O32" s="152" t="str">
        <f t="shared" si="3"/>
        <v>.626"  to  .750"</v>
      </c>
      <c r="P32" s="151">
        <v>125</v>
      </c>
      <c r="Q32" s="153">
        <v>33</v>
      </c>
      <c r="R32" s="155">
        <f t="shared" si="4"/>
        <v>2190</v>
      </c>
    </row>
    <row r="33" spans="2:18" x14ac:dyDescent="0.25">
      <c r="B33" s="351">
        <v>0.626</v>
      </c>
      <c r="C33" s="351">
        <v>0.75</v>
      </c>
      <c r="D33" s="351"/>
      <c r="E33" s="13" t="s">
        <v>109</v>
      </c>
      <c r="F33" s="765">
        <v>2035</v>
      </c>
      <c r="G33" s="769">
        <v>2190</v>
      </c>
      <c r="H33" s="565">
        <f t="shared" si="0"/>
        <v>155</v>
      </c>
      <c r="I33" s="349">
        <f t="shared" si="1"/>
        <v>7.6167076167076173E-2</v>
      </c>
      <c r="J33" s="367">
        <f t="shared" si="2"/>
        <v>1642.5</v>
      </c>
      <c r="M33" s="129" t="s">
        <v>109</v>
      </c>
      <c r="N33" s="151" t="s">
        <v>17</v>
      </c>
      <c r="O33" s="152" t="str">
        <f t="shared" si="3"/>
        <v>.626"  to  .750"</v>
      </c>
      <c r="P33" s="151">
        <v>125</v>
      </c>
      <c r="Q33" s="153">
        <v>33</v>
      </c>
      <c r="R33" s="155">
        <f t="shared" si="4"/>
        <v>2190</v>
      </c>
    </row>
    <row r="34" spans="2:18" x14ac:dyDescent="0.25">
      <c r="B34" s="351">
        <v>0.62649999999999995</v>
      </c>
      <c r="C34" s="351">
        <v>0.75049999999999994</v>
      </c>
      <c r="D34" s="351"/>
      <c r="E34" s="762" t="s">
        <v>110</v>
      </c>
      <c r="F34" s="766">
        <v>2035</v>
      </c>
      <c r="G34" s="770">
        <v>2210</v>
      </c>
      <c r="H34" s="763">
        <f t="shared" si="0"/>
        <v>175</v>
      </c>
      <c r="I34" s="356">
        <f t="shared" si="1"/>
        <v>8.5995085995085999E-2</v>
      </c>
      <c r="J34" s="368">
        <f t="shared" si="2"/>
        <v>1657.5</v>
      </c>
      <c r="M34" s="156" t="s">
        <v>110</v>
      </c>
      <c r="N34" s="157" t="s">
        <v>14</v>
      </c>
      <c r="O34" s="157" t="str">
        <f t="shared" si="3"/>
        <v>.6265"  to  .7505"</v>
      </c>
      <c r="P34" s="157">
        <v>125</v>
      </c>
      <c r="Q34" s="158">
        <v>33</v>
      </c>
      <c r="R34" s="159">
        <f t="shared" si="4"/>
        <v>2210</v>
      </c>
    </row>
    <row r="35" spans="2:18" x14ac:dyDescent="0.25">
      <c r="B35" s="351">
        <v>0.62649999999999995</v>
      </c>
      <c r="C35" s="351">
        <v>0.75049999999999994</v>
      </c>
      <c r="D35" s="351"/>
      <c r="E35" s="761" t="s">
        <v>111</v>
      </c>
      <c r="F35" s="767">
        <v>2035</v>
      </c>
      <c r="G35" s="771">
        <v>2210</v>
      </c>
      <c r="H35" s="760">
        <f t="shared" si="0"/>
        <v>175</v>
      </c>
      <c r="I35" s="360">
        <f t="shared" si="1"/>
        <v>8.5995085995085999E-2</v>
      </c>
      <c r="J35" s="369">
        <f t="shared" si="2"/>
        <v>1657.5</v>
      </c>
      <c r="M35" s="160" t="s">
        <v>111</v>
      </c>
      <c r="N35" s="161" t="s">
        <v>17</v>
      </c>
      <c r="O35" s="162" t="str">
        <f t="shared" si="3"/>
        <v>.6265"  to  .7505"</v>
      </c>
      <c r="P35" s="161">
        <v>125</v>
      </c>
      <c r="Q35" s="163">
        <v>33</v>
      </c>
      <c r="R35" s="164">
        <f t="shared" si="4"/>
        <v>2210</v>
      </c>
    </row>
    <row r="36" spans="2:18" x14ac:dyDescent="0.25">
      <c r="B36" s="351">
        <v>0.751</v>
      </c>
      <c r="C36" s="351">
        <v>0.83199999999999996</v>
      </c>
      <c r="D36" s="351"/>
      <c r="E36" s="13" t="s">
        <v>112</v>
      </c>
      <c r="F36" s="765">
        <v>1710</v>
      </c>
      <c r="G36" s="769">
        <v>1820</v>
      </c>
      <c r="H36" s="565">
        <f t="shared" si="0"/>
        <v>110</v>
      </c>
      <c r="I36" s="349">
        <f t="shared" si="1"/>
        <v>6.4327485380116955E-2</v>
      </c>
      <c r="J36" s="367">
        <f t="shared" si="2"/>
        <v>1365</v>
      </c>
      <c r="M36" s="129" t="s">
        <v>112</v>
      </c>
      <c r="N36" s="151" t="s">
        <v>14</v>
      </c>
      <c r="O36" s="152" t="str">
        <f t="shared" si="3"/>
        <v>.751"  to  .832"</v>
      </c>
      <c r="P36" s="151">
        <v>82</v>
      </c>
      <c r="Q36" s="153">
        <v>29</v>
      </c>
      <c r="R36" s="155">
        <f t="shared" si="4"/>
        <v>1820</v>
      </c>
    </row>
    <row r="37" spans="2:18" x14ac:dyDescent="0.25">
      <c r="B37" s="351">
        <v>0.751</v>
      </c>
      <c r="C37" s="351">
        <v>0.83199999999999996</v>
      </c>
      <c r="D37" s="351"/>
      <c r="E37" s="13" t="s">
        <v>113</v>
      </c>
      <c r="F37" s="765">
        <v>1710</v>
      </c>
      <c r="G37" s="769">
        <v>1820</v>
      </c>
      <c r="H37" s="565">
        <f t="shared" si="0"/>
        <v>110</v>
      </c>
      <c r="I37" s="349">
        <f t="shared" si="1"/>
        <v>6.4327485380116955E-2</v>
      </c>
      <c r="J37" s="367">
        <f t="shared" si="2"/>
        <v>1365</v>
      </c>
      <c r="M37" s="129" t="s">
        <v>113</v>
      </c>
      <c r="N37" s="151" t="s">
        <v>17</v>
      </c>
      <c r="O37" s="152" t="str">
        <f t="shared" si="3"/>
        <v>.751"  to  .832"</v>
      </c>
      <c r="P37" s="151">
        <v>82</v>
      </c>
      <c r="Q37" s="153">
        <v>29</v>
      </c>
      <c r="R37" s="155">
        <f t="shared" si="4"/>
        <v>1820</v>
      </c>
    </row>
    <row r="38" spans="2:18" x14ac:dyDescent="0.25">
      <c r="B38" s="351">
        <v>0.75149999999999995</v>
      </c>
      <c r="C38" s="351">
        <v>0.83250000000000002</v>
      </c>
      <c r="D38" s="351"/>
      <c r="E38" s="762" t="s">
        <v>114</v>
      </c>
      <c r="F38" s="766">
        <v>1710</v>
      </c>
      <c r="G38" s="770">
        <v>1840</v>
      </c>
      <c r="H38" s="763">
        <f t="shared" si="0"/>
        <v>130</v>
      </c>
      <c r="I38" s="356">
        <f t="shared" si="1"/>
        <v>7.6023391812865493E-2</v>
      </c>
      <c r="J38" s="368">
        <f t="shared" si="2"/>
        <v>1380</v>
      </c>
      <c r="M38" s="156" t="s">
        <v>114</v>
      </c>
      <c r="N38" s="157" t="s">
        <v>14</v>
      </c>
      <c r="O38" s="157" t="str">
        <f t="shared" si="3"/>
        <v>.7515"  to  .8325"</v>
      </c>
      <c r="P38" s="157">
        <v>82</v>
      </c>
      <c r="Q38" s="158">
        <v>29</v>
      </c>
      <c r="R38" s="159">
        <f t="shared" si="4"/>
        <v>1840</v>
      </c>
    </row>
    <row r="39" spans="2:18" x14ac:dyDescent="0.25">
      <c r="B39" s="351">
        <v>0.75149999999999995</v>
      </c>
      <c r="C39" s="351">
        <v>0.83250000000000002</v>
      </c>
      <c r="D39" s="351"/>
      <c r="E39" s="761" t="s">
        <v>115</v>
      </c>
      <c r="F39" s="767">
        <v>1710</v>
      </c>
      <c r="G39" s="771">
        <v>1840</v>
      </c>
      <c r="H39" s="760">
        <f t="shared" si="0"/>
        <v>130</v>
      </c>
      <c r="I39" s="360">
        <f t="shared" si="1"/>
        <v>7.6023391812865493E-2</v>
      </c>
      <c r="J39" s="369">
        <f t="shared" si="2"/>
        <v>1380</v>
      </c>
      <c r="M39" s="160" t="s">
        <v>115</v>
      </c>
      <c r="N39" s="161" t="s">
        <v>17</v>
      </c>
      <c r="O39" s="162" t="str">
        <f t="shared" si="3"/>
        <v>.7515"  to  .8325"</v>
      </c>
      <c r="P39" s="161">
        <v>82</v>
      </c>
      <c r="Q39" s="163">
        <v>29</v>
      </c>
      <c r="R39" s="164">
        <f t="shared" si="4"/>
        <v>1840</v>
      </c>
    </row>
    <row r="40" spans="2:18" x14ac:dyDescent="0.25">
      <c r="B40" s="351">
        <v>0.83299999999999996</v>
      </c>
      <c r="C40" s="351">
        <v>0.91600000000000004</v>
      </c>
      <c r="D40" s="351"/>
      <c r="E40" s="13" t="s">
        <v>116</v>
      </c>
      <c r="F40" s="765">
        <v>1800</v>
      </c>
      <c r="G40" s="769">
        <v>1900</v>
      </c>
      <c r="H40" s="565">
        <f t="shared" si="0"/>
        <v>100</v>
      </c>
      <c r="I40" s="349">
        <f t="shared" si="1"/>
        <v>5.5555555555555552E-2</v>
      </c>
      <c r="J40" s="367">
        <f t="shared" si="2"/>
        <v>1425</v>
      </c>
      <c r="M40" s="129" t="s">
        <v>116</v>
      </c>
      <c r="N40" s="151" t="s">
        <v>14</v>
      </c>
      <c r="O40" s="152" t="str">
        <f t="shared" si="3"/>
        <v>.833"  to  .916"</v>
      </c>
      <c r="P40" s="151">
        <v>84</v>
      </c>
      <c r="Q40" s="153">
        <v>35</v>
      </c>
      <c r="R40" s="155">
        <f t="shared" si="4"/>
        <v>1900</v>
      </c>
    </row>
    <row r="41" spans="2:18" x14ac:dyDescent="0.25">
      <c r="B41" s="351">
        <v>0.83299999999999996</v>
      </c>
      <c r="C41" s="351">
        <v>0.91600000000000004</v>
      </c>
      <c r="D41" s="351"/>
      <c r="E41" s="13" t="s">
        <v>117</v>
      </c>
      <c r="F41" s="765">
        <v>1800</v>
      </c>
      <c r="G41" s="769">
        <v>1900</v>
      </c>
      <c r="H41" s="565">
        <f t="shared" si="0"/>
        <v>100</v>
      </c>
      <c r="I41" s="349">
        <f t="shared" si="1"/>
        <v>5.5555555555555552E-2</v>
      </c>
      <c r="J41" s="367">
        <f t="shared" si="2"/>
        <v>1425</v>
      </c>
      <c r="M41" s="129" t="s">
        <v>117</v>
      </c>
      <c r="N41" s="151" t="s">
        <v>17</v>
      </c>
      <c r="O41" s="152" t="str">
        <f t="shared" si="3"/>
        <v>.833"  to  .916"</v>
      </c>
      <c r="P41" s="151">
        <v>84</v>
      </c>
      <c r="Q41" s="153">
        <v>35</v>
      </c>
      <c r="R41" s="155">
        <f t="shared" si="4"/>
        <v>1900</v>
      </c>
    </row>
    <row r="42" spans="2:18" x14ac:dyDescent="0.25">
      <c r="B42" s="351">
        <v>0.83350000000000002</v>
      </c>
      <c r="C42" s="351">
        <v>0.91649999999999998</v>
      </c>
      <c r="D42" s="351"/>
      <c r="E42" s="762" t="s">
        <v>118</v>
      </c>
      <c r="F42" s="766">
        <v>1800</v>
      </c>
      <c r="G42" s="770">
        <v>1920</v>
      </c>
      <c r="H42" s="763">
        <f t="shared" si="0"/>
        <v>120</v>
      </c>
      <c r="I42" s="356">
        <f t="shared" si="1"/>
        <v>6.6666666666666666E-2</v>
      </c>
      <c r="J42" s="368">
        <f t="shared" si="2"/>
        <v>1440</v>
      </c>
      <c r="M42" s="156" t="s">
        <v>118</v>
      </c>
      <c r="N42" s="157" t="s">
        <v>14</v>
      </c>
      <c r="O42" s="157" t="str">
        <f t="shared" si="3"/>
        <v>.8335"  to  .9165"</v>
      </c>
      <c r="P42" s="157">
        <v>84</v>
      </c>
      <c r="Q42" s="158">
        <v>35</v>
      </c>
      <c r="R42" s="159">
        <f t="shared" si="4"/>
        <v>1920</v>
      </c>
    </row>
    <row r="43" spans="2:18" x14ac:dyDescent="0.25">
      <c r="B43" s="351">
        <v>0.83350000000000002</v>
      </c>
      <c r="C43" s="351">
        <v>0.91649999999999998</v>
      </c>
      <c r="D43" s="351"/>
      <c r="E43" s="761" t="s">
        <v>119</v>
      </c>
      <c r="F43" s="767">
        <v>1800</v>
      </c>
      <c r="G43" s="771">
        <v>1920</v>
      </c>
      <c r="H43" s="760">
        <f t="shared" si="0"/>
        <v>120</v>
      </c>
      <c r="I43" s="360">
        <f t="shared" si="1"/>
        <v>6.6666666666666666E-2</v>
      </c>
      <c r="J43" s="369">
        <f t="shared" si="2"/>
        <v>1440</v>
      </c>
      <c r="M43" s="160" t="s">
        <v>119</v>
      </c>
      <c r="N43" s="161" t="s">
        <v>17</v>
      </c>
      <c r="O43" s="162" t="str">
        <f t="shared" si="3"/>
        <v>.8335"  to  .9165"</v>
      </c>
      <c r="P43" s="161">
        <v>84</v>
      </c>
      <c r="Q43" s="163">
        <v>35</v>
      </c>
      <c r="R43" s="164">
        <f t="shared" si="4"/>
        <v>1920</v>
      </c>
    </row>
    <row r="44" spans="2:18" x14ac:dyDescent="0.25">
      <c r="B44" s="351">
        <v>0.91700000000000004</v>
      </c>
      <c r="C44" s="351">
        <v>1</v>
      </c>
      <c r="D44" s="351"/>
      <c r="E44" s="13" t="s">
        <v>120</v>
      </c>
      <c r="F44" s="765">
        <v>2065</v>
      </c>
      <c r="G44" s="769">
        <v>2160</v>
      </c>
      <c r="H44" s="565">
        <f t="shared" si="0"/>
        <v>95</v>
      </c>
      <c r="I44" s="349">
        <f t="shared" si="1"/>
        <v>4.6004842615012108E-2</v>
      </c>
      <c r="J44" s="367">
        <f t="shared" si="2"/>
        <v>1620</v>
      </c>
      <c r="M44" s="129" t="s">
        <v>120</v>
      </c>
      <c r="N44" s="151" t="s">
        <v>14</v>
      </c>
      <c r="O44" s="152" t="str">
        <f t="shared" si="3"/>
        <v>.917"  to  1.000"</v>
      </c>
      <c r="P44" s="151">
        <v>84</v>
      </c>
      <c r="Q44" s="153">
        <v>41</v>
      </c>
      <c r="R44" s="155">
        <f t="shared" si="4"/>
        <v>2160</v>
      </c>
    </row>
    <row r="45" spans="2:18" x14ac:dyDescent="0.25">
      <c r="B45" s="351">
        <v>0.91700000000000004</v>
      </c>
      <c r="C45" s="351">
        <v>1</v>
      </c>
      <c r="D45" s="351"/>
      <c r="E45" s="13" t="s">
        <v>121</v>
      </c>
      <c r="F45" s="765">
        <v>2065</v>
      </c>
      <c r="G45" s="769">
        <v>2160</v>
      </c>
      <c r="H45" s="565">
        <f t="shared" si="0"/>
        <v>95</v>
      </c>
      <c r="I45" s="349">
        <f t="shared" si="1"/>
        <v>4.6004842615012108E-2</v>
      </c>
      <c r="J45" s="367">
        <f t="shared" si="2"/>
        <v>1620</v>
      </c>
      <c r="M45" s="129" t="s">
        <v>121</v>
      </c>
      <c r="N45" s="151" t="s">
        <v>17</v>
      </c>
      <c r="O45" s="152" t="str">
        <f t="shared" si="3"/>
        <v>.917"  to  1.000"</v>
      </c>
      <c r="P45" s="151">
        <v>84</v>
      </c>
      <c r="Q45" s="153">
        <v>41</v>
      </c>
      <c r="R45" s="155">
        <f t="shared" si="4"/>
        <v>2160</v>
      </c>
    </row>
    <row r="46" spans="2:18" x14ac:dyDescent="0.25">
      <c r="B46" s="351">
        <v>0.91749999999999998</v>
      </c>
      <c r="C46" s="351">
        <v>1.0004999999999999</v>
      </c>
      <c r="D46" s="351"/>
      <c r="E46" s="762" t="s">
        <v>122</v>
      </c>
      <c r="F46" s="766">
        <v>2065</v>
      </c>
      <c r="G46" s="770">
        <v>2180</v>
      </c>
      <c r="H46" s="763">
        <f t="shared" si="0"/>
        <v>115</v>
      </c>
      <c r="I46" s="356">
        <f t="shared" si="1"/>
        <v>5.569007263922518E-2</v>
      </c>
      <c r="J46" s="368">
        <f t="shared" si="2"/>
        <v>1635</v>
      </c>
      <c r="M46" s="156" t="s">
        <v>122</v>
      </c>
      <c r="N46" s="157" t="s">
        <v>14</v>
      </c>
      <c r="O46" s="157" t="str">
        <f t="shared" si="3"/>
        <v>.9175"  to  1.0005"</v>
      </c>
      <c r="P46" s="157">
        <v>84</v>
      </c>
      <c r="Q46" s="158">
        <v>41</v>
      </c>
      <c r="R46" s="159">
        <f t="shared" si="4"/>
        <v>2180</v>
      </c>
    </row>
    <row r="47" spans="2:18" ht="15.75" thickBot="1" x14ac:dyDescent="0.3">
      <c r="B47" s="351">
        <v>0.91749999999999998</v>
      </c>
      <c r="C47" s="351">
        <v>1.0004999999999999</v>
      </c>
      <c r="D47" s="351"/>
      <c r="E47" s="761" t="s">
        <v>123</v>
      </c>
      <c r="F47" s="767">
        <v>2065</v>
      </c>
      <c r="G47" s="771">
        <v>2180</v>
      </c>
      <c r="H47" s="760">
        <f t="shared" si="0"/>
        <v>115</v>
      </c>
      <c r="I47" s="360">
        <f t="shared" si="1"/>
        <v>5.569007263922518E-2</v>
      </c>
      <c r="J47" s="369">
        <f t="shared" si="2"/>
        <v>1635</v>
      </c>
      <c r="M47" s="166" t="s">
        <v>123</v>
      </c>
      <c r="N47" s="167" t="s">
        <v>17</v>
      </c>
      <c r="O47" s="168" t="str">
        <f t="shared" si="3"/>
        <v>.9175"  to  1.0005"</v>
      </c>
      <c r="P47" s="167">
        <v>84</v>
      </c>
      <c r="Q47" s="169">
        <v>41</v>
      </c>
      <c r="R47" s="170">
        <f t="shared" si="4"/>
        <v>2180</v>
      </c>
    </row>
    <row r="48" spans="2:18" x14ac:dyDescent="0.25">
      <c r="B48" s="4"/>
      <c r="C48" s="4"/>
      <c r="D48" s="4"/>
      <c r="F48" s="560"/>
      <c r="G48" s="560"/>
      <c r="H48" s="560"/>
      <c r="M48" s="34"/>
      <c r="N48" s="34"/>
      <c r="O48" s="34"/>
      <c r="P48" s="34"/>
      <c r="Q48" s="34"/>
      <c r="R48" s="34"/>
    </row>
    <row r="49" spans="1:4" x14ac:dyDescent="0.25">
      <c r="A49" s="46"/>
      <c r="B49" s="4"/>
      <c r="C49" s="4"/>
      <c r="D49" s="4"/>
    </row>
    <row r="50" spans="1:4" x14ac:dyDescent="0.25">
      <c r="B50" s="4"/>
      <c r="C50" s="4"/>
      <c r="D50" s="4"/>
    </row>
    <row r="51" spans="1:4" x14ac:dyDescent="0.25">
      <c r="B51" s="4"/>
      <c r="C51" s="4"/>
      <c r="D51" s="4"/>
    </row>
    <row r="52" spans="1:4" x14ac:dyDescent="0.25">
      <c r="B52" s="4"/>
      <c r="C52" s="4"/>
      <c r="D52" s="4"/>
    </row>
    <row r="53" spans="1:4" x14ac:dyDescent="0.25">
      <c r="B53" s="4"/>
      <c r="C53" s="4"/>
      <c r="D53" s="4"/>
    </row>
    <row r="54" spans="1:4" x14ac:dyDescent="0.25">
      <c r="B54" s="4"/>
      <c r="C54" s="4"/>
      <c r="D54" s="4"/>
    </row>
    <row r="55" spans="1:4" x14ac:dyDescent="0.25">
      <c r="B55" s="4"/>
      <c r="C55" s="4"/>
      <c r="D55" s="4"/>
    </row>
  </sheetData>
  <sheetProtection algorithmName="SHA-512" hashValue="35xWAYtSAqL02chGYzDqz6TTVzpyr7C85jeSfTRxhqZprIz6VSD77LoCR/3odRwqvAsR+2kCmfcQe8RTOg4QTA==" saltValue="BrnHub+1MU2t7UWaDVLTzg==" spinCount="100000" sheet="1" objects="1" scenarios="1"/>
  <conditionalFormatting sqref="M6:M8">
    <cfRule type="expression" dxfId="31" priority="3">
      <formula>#REF!="y"</formula>
    </cfRule>
  </conditionalFormatting>
  <conditionalFormatting sqref="Y4">
    <cfRule type="expression" dxfId="30" priority="2">
      <formula>$Y4="y"</formula>
    </cfRule>
  </conditionalFormatting>
  <conditionalFormatting sqref="Z4">
    <cfRule type="expression" dxfId="29" priority="1">
      <formula>#REF!="y"</formula>
    </cfRule>
  </conditionalFormatting>
  <pageMargins left="0.25" right="0.25" top="0.75" bottom="0.75" header="0.3" footer="0.3"/>
  <pageSetup scale="4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FC0BB-69CC-4AD6-B493-D43B5E00D94F}">
  <sheetPr codeName="Sheet12">
    <outlinePr summaryBelow="0"/>
    <pageSetUpPr autoPageBreaks="0" fitToPage="1"/>
  </sheetPr>
  <dimension ref="A1:Q53"/>
  <sheetViews>
    <sheetView showGridLines="0" zoomScale="90" zoomScaleNormal="90" workbookViewId="0">
      <selection activeCell="K56" sqref="K56"/>
    </sheetView>
  </sheetViews>
  <sheetFormatPr defaultRowHeight="15" outlineLevelRow="1" outlineLevelCol="1" x14ac:dyDescent="0.25"/>
  <cols>
    <col min="1" max="1" width="2.7109375" customWidth="1"/>
    <col min="2" max="3" width="10.85546875" style="11" hidden="1" customWidth="1" outlineLevel="1"/>
    <col min="4" max="4" width="2.7109375" hidden="1" customWidth="1" outlineLevel="1"/>
    <col min="5" max="9" width="11.42578125" hidden="1" customWidth="1" outlineLevel="1"/>
    <col min="10" max="10" width="3.7109375" hidden="1" customWidth="1" outlineLevel="1"/>
    <col min="11" max="11" width="15.7109375" customWidth="1" collapsed="1"/>
    <col min="12" max="12" width="16.42578125" customWidth="1"/>
    <col min="13" max="13" width="22" customWidth="1"/>
    <col min="14" max="14" width="16.28515625" customWidth="1"/>
    <col min="15" max="15" width="17" customWidth="1"/>
    <col min="16" max="16" width="16.85546875" customWidth="1"/>
    <col min="17" max="17" width="13.85546875" customWidth="1"/>
    <col min="18" max="18" width="20" customWidth="1"/>
    <col min="21" max="21" width="13" customWidth="1"/>
  </cols>
  <sheetData>
    <row r="1" spans="1:17" ht="9.9499999999999993" customHeight="1" x14ac:dyDescent="0.25"/>
    <row r="2" spans="1:17" ht="21" collapsed="1" x14ac:dyDescent="0.35">
      <c r="K2" s="1" t="s">
        <v>184</v>
      </c>
    </row>
    <row r="3" spans="1:17" hidden="1" outlineLevel="1" x14ac:dyDescent="0.25">
      <c r="B3" s="574" t="s">
        <v>859</v>
      </c>
      <c r="C3" s="574" t="s">
        <v>860</v>
      </c>
      <c r="K3" s="17"/>
    </row>
    <row r="4" spans="1:17" hidden="1" outlineLevel="1" x14ac:dyDescent="0.25">
      <c r="B4" s="2">
        <v>180</v>
      </c>
      <c r="C4" s="2" t="s">
        <v>184</v>
      </c>
      <c r="K4" s="17"/>
    </row>
    <row r="5" spans="1:17" x14ac:dyDescent="0.25">
      <c r="K5" s="17"/>
    </row>
    <row r="6" spans="1:17" x14ac:dyDescent="0.25">
      <c r="F6" s="396" t="s">
        <v>635</v>
      </c>
      <c r="G6" s="400" t="s">
        <v>640</v>
      </c>
      <c r="K6" s="396" t="str">
        <f>_xlfn.CONCAT($F$6,"  ",G6)</f>
        <v>•  Class X (.00004" tolerance)</v>
      </c>
    </row>
    <row r="7" spans="1:17" x14ac:dyDescent="0.25">
      <c r="F7" s="396"/>
      <c r="G7" s="400" t="s">
        <v>631</v>
      </c>
      <c r="K7" s="396" t="str">
        <f>_xlfn.CONCAT($F$6,"  ",G7)</f>
        <v>•  Go (Plus) or NoGo (Minus)</v>
      </c>
    </row>
    <row r="8" spans="1:17" x14ac:dyDescent="0.25">
      <c r="G8" s="400" t="s">
        <v>641</v>
      </c>
      <c r="K8" s="396" t="str">
        <f>_xlfn.CONCAT($F$6,"  ",G8)</f>
        <v>•  .001" increments</v>
      </c>
    </row>
    <row r="9" spans="1:17" ht="15.75" thickBot="1" x14ac:dyDescent="0.3">
      <c r="K9" s="3"/>
      <c r="L9" s="3"/>
    </row>
    <row r="10" spans="1:17" s="9" customFormat="1" ht="15.75" x14ac:dyDescent="0.25">
      <c r="A10"/>
      <c r="B10" s="21" t="s">
        <v>722</v>
      </c>
      <c r="C10" s="7"/>
      <c r="K10" s="592" t="str">
        <f>K2</f>
        <v>Class X Libraries</v>
      </c>
      <c r="L10" s="592"/>
      <c r="M10" s="592"/>
      <c r="N10" s="592"/>
      <c r="O10" s="592"/>
      <c r="P10" s="593"/>
      <c r="Q10"/>
    </row>
    <row r="11" spans="1:17" s="30" customFormat="1" ht="30" x14ac:dyDescent="0.25">
      <c r="A11"/>
      <c r="B11" s="32"/>
      <c r="C11" s="32"/>
      <c r="E11" s="382" t="s">
        <v>622</v>
      </c>
      <c r="F11" s="382" t="s">
        <v>623</v>
      </c>
      <c r="G11" s="375" t="s">
        <v>626</v>
      </c>
      <c r="H11" s="19"/>
      <c r="I11" s="374">
        <v>0.25</v>
      </c>
      <c r="K11" s="145" t="s">
        <v>9</v>
      </c>
      <c r="L11" s="146" t="s">
        <v>10</v>
      </c>
      <c r="M11" s="147" t="s">
        <v>3</v>
      </c>
      <c r="N11" s="146" t="s">
        <v>11</v>
      </c>
      <c r="O11" s="182" t="s">
        <v>12</v>
      </c>
      <c r="P11" s="148" t="s">
        <v>568</v>
      </c>
      <c r="Q11" s="183"/>
    </row>
    <row r="12" spans="1:17" s="9" customFormat="1" ht="15.75" x14ac:dyDescent="0.25">
      <c r="A12"/>
      <c r="B12" s="351">
        <v>1.0999999999999999E-2</v>
      </c>
      <c r="C12" s="351">
        <v>0.75</v>
      </c>
      <c r="D12" s="33"/>
      <c r="E12" s="346">
        <v>7820</v>
      </c>
      <c r="F12" s="346">
        <v>8000</v>
      </c>
      <c r="G12" s="350">
        <f>IF(F12=0,0,F12-E12)</f>
        <v>180</v>
      </c>
      <c r="H12" s="349">
        <f>G12/E12</f>
        <v>2.3017902813299233E-2</v>
      </c>
      <c r="I12" s="350">
        <f>IFERROR(((1-$I$11)*F12),0)</f>
        <v>6000</v>
      </c>
      <c r="K12" s="902" t="s">
        <v>174</v>
      </c>
      <c r="L12" s="903" t="s">
        <v>14</v>
      </c>
      <c r="M12" s="634" t="str">
        <f>_xlfn.CONCAT(TEXT($B12,"#.000#"),"""","  to  ",TEXT($C12,"#.000#"),"""")</f>
        <v>.011"  to  .750"</v>
      </c>
      <c r="N12" s="903">
        <v>740</v>
      </c>
      <c r="O12" s="904">
        <v>120</v>
      </c>
      <c r="P12" s="905">
        <f>$F12</f>
        <v>8000</v>
      </c>
      <c r="Q12"/>
    </row>
    <row r="13" spans="1:17" s="9" customFormat="1" ht="15.75" x14ac:dyDescent="0.25">
      <c r="A13"/>
      <c r="B13" s="351">
        <v>1.0999999999999999E-2</v>
      </c>
      <c r="C13" s="351">
        <v>0.75</v>
      </c>
      <c r="D13" s="33"/>
      <c r="E13" s="346">
        <v>7820</v>
      </c>
      <c r="F13" s="346">
        <v>8000</v>
      </c>
      <c r="G13" s="350">
        <f t="shared" ref="G13:G23" si="0">IF(F13=0,0,F13-E13)</f>
        <v>180</v>
      </c>
      <c r="H13" s="349">
        <f t="shared" ref="H13:H23" si="1">G13/E13</f>
        <v>2.3017902813299233E-2</v>
      </c>
      <c r="I13" s="350">
        <f t="shared" ref="I13:I23" si="2">IFERROR(((1-$I$11)*F13),0)</f>
        <v>6000</v>
      </c>
      <c r="K13" s="902" t="s">
        <v>175</v>
      </c>
      <c r="L13" s="903" t="s">
        <v>17</v>
      </c>
      <c r="M13" s="634" t="str">
        <f>_xlfn.CONCAT(TEXT($B13,"#.000#"),"""","  to  ",TEXT($C13,"#.000#"),"""")</f>
        <v>.011"  to  .750"</v>
      </c>
      <c r="N13" s="903">
        <v>740</v>
      </c>
      <c r="O13" s="904">
        <v>120</v>
      </c>
      <c r="P13" s="906">
        <f t="shared" ref="P13:P23" si="3">$F13</f>
        <v>8000</v>
      </c>
      <c r="Q13"/>
    </row>
    <row r="14" spans="1:17" s="9" customFormat="1" ht="15.75" x14ac:dyDescent="0.25">
      <c r="A14"/>
      <c r="B14" s="351">
        <v>6.0999999999999999E-2</v>
      </c>
      <c r="C14" s="351">
        <v>0.75</v>
      </c>
      <c r="D14" s="33"/>
      <c r="E14" s="346">
        <v>7250</v>
      </c>
      <c r="F14" s="346">
        <v>7500</v>
      </c>
      <c r="G14" s="350">
        <f t="shared" si="0"/>
        <v>250</v>
      </c>
      <c r="H14" s="349">
        <f t="shared" si="1"/>
        <v>3.4482758620689655E-2</v>
      </c>
      <c r="I14" s="350">
        <f t="shared" si="2"/>
        <v>5625</v>
      </c>
      <c r="K14" s="907" t="s">
        <v>172</v>
      </c>
      <c r="L14" s="908" t="s">
        <v>14</v>
      </c>
      <c r="M14" s="909" t="str">
        <f>_xlfn.CONCAT(TEXT($B14,"#.000#"),"""","  to  ",TEXT($C14,"#.000#"),"""")</f>
        <v>.061"  to  .750"</v>
      </c>
      <c r="N14" s="908">
        <v>690</v>
      </c>
      <c r="O14" s="910">
        <v>120</v>
      </c>
      <c r="P14" s="911">
        <f t="shared" si="3"/>
        <v>7500</v>
      </c>
      <c r="Q14"/>
    </row>
    <row r="15" spans="1:17" s="9" customFormat="1" ht="15.75" x14ac:dyDescent="0.25">
      <c r="A15"/>
      <c r="B15" s="351">
        <v>6.0999999999999999E-2</v>
      </c>
      <c r="C15" s="351">
        <v>0.75</v>
      </c>
      <c r="D15" s="33"/>
      <c r="E15" s="346">
        <v>7250</v>
      </c>
      <c r="F15" s="346">
        <v>7500</v>
      </c>
      <c r="G15" s="350">
        <f t="shared" si="0"/>
        <v>250</v>
      </c>
      <c r="H15" s="349">
        <f t="shared" si="1"/>
        <v>3.4482758620689655E-2</v>
      </c>
      <c r="I15" s="350">
        <f t="shared" si="2"/>
        <v>5625</v>
      </c>
      <c r="K15" s="635" t="s">
        <v>173</v>
      </c>
      <c r="L15" s="636" t="s">
        <v>17</v>
      </c>
      <c r="M15" s="637" t="str">
        <f t="shared" ref="M15:M23" si="4">_xlfn.CONCAT(TEXT($B15,"#.000#"),"""","  to  ",TEXT($C15,"#.000#"),"""")</f>
        <v>.061"  to  .750"</v>
      </c>
      <c r="N15" s="636">
        <v>690</v>
      </c>
      <c r="O15" s="912">
        <v>120</v>
      </c>
      <c r="P15" s="857">
        <f t="shared" si="3"/>
        <v>7500</v>
      </c>
      <c r="Q15"/>
    </row>
    <row r="16" spans="1:17" s="9" customFormat="1" ht="15.75" x14ac:dyDescent="0.25">
      <c r="A16"/>
      <c r="B16" s="351">
        <v>1.0999999999999999E-2</v>
      </c>
      <c r="C16" s="351">
        <v>0.50049999999999994</v>
      </c>
      <c r="D16" s="33"/>
      <c r="E16" s="346">
        <v>8150</v>
      </c>
      <c r="F16" s="346">
        <v>8250</v>
      </c>
      <c r="G16" s="350">
        <f t="shared" si="0"/>
        <v>100</v>
      </c>
      <c r="H16" s="349">
        <f t="shared" si="1"/>
        <v>1.2269938650306749E-2</v>
      </c>
      <c r="I16" s="350">
        <f t="shared" si="2"/>
        <v>6187.5</v>
      </c>
      <c r="K16" s="902" t="s">
        <v>178</v>
      </c>
      <c r="L16" s="903" t="s">
        <v>14</v>
      </c>
      <c r="M16" s="634" t="str">
        <f>_xlfn.CONCAT(TEXT($B16,"#.000#"),"""","  to  ",TEXT($C16,"#.000#"),"""*")</f>
        <v>.011"  to  .5005"*</v>
      </c>
      <c r="N16" s="903">
        <v>980</v>
      </c>
      <c r="O16" s="904">
        <v>96</v>
      </c>
      <c r="P16" s="906">
        <f t="shared" si="3"/>
        <v>8250</v>
      </c>
      <c r="Q16"/>
    </row>
    <row r="17" spans="1:17" s="9" customFormat="1" ht="15.75" x14ac:dyDescent="0.25">
      <c r="A17"/>
      <c r="B17" s="351">
        <v>1.0999999999999999E-2</v>
      </c>
      <c r="C17" s="351">
        <v>0.50049999999999994</v>
      </c>
      <c r="D17" s="33"/>
      <c r="E17" s="346">
        <v>8150</v>
      </c>
      <c r="F17" s="346">
        <v>8250</v>
      </c>
      <c r="G17" s="350">
        <f t="shared" si="0"/>
        <v>100</v>
      </c>
      <c r="H17" s="349">
        <f t="shared" si="1"/>
        <v>1.2269938650306749E-2</v>
      </c>
      <c r="I17" s="350">
        <f t="shared" si="2"/>
        <v>6187.5</v>
      </c>
      <c r="K17" s="902" t="s">
        <v>179</v>
      </c>
      <c r="L17" s="903" t="s">
        <v>17</v>
      </c>
      <c r="M17" s="634" t="str">
        <f>_xlfn.CONCAT(TEXT($B17,"#.000#"),"""","  to  ",TEXT($C17,"#.000#"),"""*")</f>
        <v>.011"  to  .5005"*</v>
      </c>
      <c r="N17" s="903">
        <v>980</v>
      </c>
      <c r="O17" s="904">
        <v>96</v>
      </c>
      <c r="P17" s="906">
        <f t="shared" si="3"/>
        <v>8250</v>
      </c>
      <c r="Q17"/>
    </row>
    <row r="18" spans="1:17" s="9" customFormat="1" ht="15.75" x14ac:dyDescent="0.25">
      <c r="A18"/>
      <c r="B18" s="351">
        <v>6.0999999999999999E-2</v>
      </c>
      <c r="C18" s="351">
        <v>0.50049999999999994</v>
      </c>
      <c r="D18" s="33"/>
      <c r="E18" s="346">
        <v>7125</v>
      </c>
      <c r="F18" s="346">
        <v>7250</v>
      </c>
      <c r="G18" s="350">
        <f t="shared" si="0"/>
        <v>125</v>
      </c>
      <c r="H18" s="349">
        <f t="shared" si="1"/>
        <v>1.7543859649122806E-2</v>
      </c>
      <c r="I18" s="350">
        <f t="shared" si="2"/>
        <v>5437.5</v>
      </c>
      <c r="K18" s="907" t="s">
        <v>176</v>
      </c>
      <c r="L18" s="908" t="s">
        <v>14</v>
      </c>
      <c r="M18" s="909" t="str">
        <f>_xlfn.CONCAT(TEXT($B18,"#.000#"),"""","  to  ",TEXT($C18,"#.000#"),"""*")</f>
        <v>.061"  to  .5005"*</v>
      </c>
      <c r="N18" s="908">
        <v>880</v>
      </c>
      <c r="O18" s="910">
        <v>95</v>
      </c>
      <c r="P18" s="911">
        <f t="shared" si="3"/>
        <v>7250</v>
      </c>
      <c r="Q18"/>
    </row>
    <row r="19" spans="1:17" s="9" customFormat="1" ht="15.75" x14ac:dyDescent="0.25">
      <c r="A19"/>
      <c r="B19" s="351">
        <v>6.0999999999999999E-2</v>
      </c>
      <c r="C19" s="351">
        <v>0.50049999999999994</v>
      </c>
      <c r="D19" s="33"/>
      <c r="E19" s="346">
        <v>7125</v>
      </c>
      <c r="F19" s="346">
        <v>7250</v>
      </c>
      <c r="G19" s="350">
        <f t="shared" si="0"/>
        <v>125</v>
      </c>
      <c r="H19" s="349">
        <f t="shared" si="1"/>
        <v>1.7543859649122806E-2</v>
      </c>
      <c r="I19" s="350">
        <f t="shared" si="2"/>
        <v>5437.5</v>
      </c>
      <c r="K19" s="635" t="s">
        <v>177</v>
      </c>
      <c r="L19" s="636" t="s">
        <v>17</v>
      </c>
      <c r="M19" s="637" t="str">
        <f>_xlfn.CONCAT(TEXT($B19,"#.000#"),"""","  to  ",TEXT($C19,"#.000#"),"""*")</f>
        <v>.061"  to  .5005"*</v>
      </c>
      <c r="N19" s="636">
        <v>880</v>
      </c>
      <c r="O19" s="912">
        <v>95</v>
      </c>
      <c r="P19" s="857">
        <f t="shared" si="3"/>
        <v>7250</v>
      </c>
      <c r="Q19"/>
    </row>
    <row r="20" spans="1:17" s="9" customFormat="1" ht="15.75" x14ac:dyDescent="0.25">
      <c r="A20"/>
      <c r="B20" s="351">
        <v>6.0999999999999999E-2</v>
      </c>
      <c r="C20" s="351">
        <v>1</v>
      </c>
      <c r="D20" s="33"/>
      <c r="E20" s="346">
        <v>12245</v>
      </c>
      <c r="F20" s="346">
        <v>12500</v>
      </c>
      <c r="G20" s="350">
        <f t="shared" si="0"/>
        <v>255</v>
      </c>
      <c r="H20" s="349">
        <f t="shared" si="1"/>
        <v>2.08248264597795E-2</v>
      </c>
      <c r="I20" s="350">
        <f t="shared" si="2"/>
        <v>9375</v>
      </c>
      <c r="K20" s="902" t="s">
        <v>180</v>
      </c>
      <c r="L20" s="903" t="s">
        <v>14</v>
      </c>
      <c r="M20" s="634" t="str">
        <f t="shared" si="4"/>
        <v>.061"  to  1.000"</v>
      </c>
      <c r="N20" s="903">
        <v>940</v>
      </c>
      <c r="O20" s="904">
        <v>240</v>
      </c>
      <c r="P20" s="906">
        <f t="shared" si="3"/>
        <v>12500</v>
      </c>
      <c r="Q20"/>
    </row>
    <row r="21" spans="1:17" s="9" customFormat="1" ht="15.75" x14ac:dyDescent="0.25">
      <c r="A21"/>
      <c r="B21" s="351">
        <v>6.0999999999999999E-2</v>
      </c>
      <c r="C21" s="351">
        <v>1</v>
      </c>
      <c r="D21" s="33"/>
      <c r="E21" s="346">
        <v>12245</v>
      </c>
      <c r="F21" s="346">
        <v>12500</v>
      </c>
      <c r="G21" s="350">
        <f t="shared" si="0"/>
        <v>255</v>
      </c>
      <c r="H21" s="349">
        <f t="shared" si="1"/>
        <v>2.08248264597795E-2</v>
      </c>
      <c r="I21" s="350">
        <f t="shared" si="2"/>
        <v>9375</v>
      </c>
      <c r="K21" s="902" t="s">
        <v>181</v>
      </c>
      <c r="L21" s="903" t="s">
        <v>17</v>
      </c>
      <c r="M21" s="634" t="str">
        <f t="shared" si="4"/>
        <v>.061"  to  1.000"</v>
      </c>
      <c r="N21" s="903">
        <v>940</v>
      </c>
      <c r="O21" s="904">
        <v>240</v>
      </c>
      <c r="P21" s="906">
        <f t="shared" si="3"/>
        <v>12500</v>
      </c>
      <c r="Q21"/>
    </row>
    <row r="22" spans="1:17" s="9" customFormat="1" ht="15.75" x14ac:dyDescent="0.25">
      <c r="A22"/>
      <c r="B22" s="351">
        <v>1.0999999999999999E-2</v>
      </c>
      <c r="C22" s="351">
        <v>1</v>
      </c>
      <c r="D22" s="33"/>
      <c r="E22" s="346">
        <v>12730</v>
      </c>
      <c r="F22" s="346">
        <v>12750</v>
      </c>
      <c r="G22" s="350">
        <f t="shared" si="0"/>
        <v>20</v>
      </c>
      <c r="H22" s="349">
        <f t="shared" si="1"/>
        <v>1.5710919088766694E-3</v>
      </c>
      <c r="I22" s="350">
        <f t="shared" si="2"/>
        <v>9562.5</v>
      </c>
      <c r="K22" s="907" t="s">
        <v>182</v>
      </c>
      <c r="L22" s="908" t="s">
        <v>14</v>
      </c>
      <c r="M22" s="909" t="str">
        <f t="shared" si="4"/>
        <v>.011"  to  1.000"</v>
      </c>
      <c r="N22" s="908">
        <v>990</v>
      </c>
      <c r="O22" s="910">
        <v>240</v>
      </c>
      <c r="P22" s="911">
        <f t="shared" si="3"/>
        <v>12750</v>
      </c>
      <c r="Q22"/>
    </row>
    <row r="23" spans="1:17" s="9" customFormat="1" ht="16.5" thickBot="1" x14ac:dyDescent="0.3">
      <c r="A23"/>
      <c r="B23" s="351">
        <v>1.0999999999999999E-2</v>
      </c>
      <c r="C23" s="351">
        <v>1</v>
      </c>
      <c r="D23" s="33"/>
      <c r="E23" s="346">
        <v>12730</v>
      </c>
      <c r="F23" s="346">
        <v>12750</v>
      </c>
      <c r="G23" s="350">
        <f t="shared" si="0"/>
        <v>20</v>
      </c>
      <c r="H23" s="349">
        <f t="shared" si="1"/>
        <v>1.5710919088766694E-3</v>
      </c>
      <c r="I23" s="350">
        <f t="shared" si="2"/>
        <v>9562.5</v>
      </c>
      <c r="K23" s="638" t="s">
        <v>183</v>
      </c>
      <c r="L23" s="639" t="s">
        <v>17</v>
      </c>
      <c r="M23" s="640" t="str">
        <f t="shared" si="4"/>
        <v>.011"  to  1.000"</v>
      </c>
      <c r="N23" s="639">
        <v>990</v>
      </c>
      <c r="O23" s="913">
        <v>240</v>
      </c>
      <c r="P23" s="858">
        <f t="shared" si="3"/>
        <v>12750</v>
      </c>
      <c r="Q23"/>
    </row>
    <row r="24" spans="1:17" s="9" customFormat="1" ht="5.0999999999999996" customHeight="1" x14ac:dyDescent="0.25">
      <c r="A24"/>
      <c r="B24" s="8"/>
      <c r="C24" s="8"/>
      <c r="K24" s="179"/>
      <c r="L24" s="3"/>
      <c r="M24" s="11"/>
      <c r="N24"/>
      <c r="O24"/>
      <c r="P24"/>
      <c r="Q24"/>
    </row>
    <row r="25" spans="1:17" s="9" customFormat="1" ht="15.75" x14ac:dyDescent="0.25">
      <c r="A25"/>
      <c r="B25" s="8"/>
      <c r="C25" s="8"/>
      <c r="K25" s="179" t="s">
        <v>572</v>
      </c>
      <c r="L25" s="3"/>
      <c r="M25" s="11"/>
      <c r="N25"/>
      <c r="O25"/>
      <c r="P25"/>
      <c r="Q25"/>
    </row>
    <row r="26" spans="1:17" s="9" customFormat="1" ht="9.9499999999999993" customHeight="1" x14ac:dyDescent="0.25">
      <c r="A26"/>
      <c r="B26" s="7"/>
      <c r="C26" s="7"/>
      <c r="K26" s="3"/>
      <c r="L26" s="3"/>
      <c r="M26" s="11"/>
      <c r="N26"/>
      <c r="O26"/>
      <c r="P26"/>
      <c r="Q26"/>
    </row>
    <row r="27" spans="1:17" x14ac:dyDescent="0.25">
      <c r="K27" s="179" t="s">
        <v>656</v>
      </c>
    </row>
    <row r="28" spans="1:17" x14ac:dyDescent="0.25">
      <c r="B28"/>
      <c r="C28"/>
    </row>
    <row r="29" spans="1:17" x14ac:dyDescent="0.25">
      <c r="B29"/>
      <c r="C29"/>
    </row>
    <row r="30" spans="1:17" x14ac:dyDescent="0.25">
      <c r="B30"/>
      <c r="C30"/>
    </row>
    <row r="31" spans="1:17" x14ac:dyDescent="0.25">
      <c r="B31"/>
      <c r="C31"/>
    </row>
    <row r="32" spans="1:17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53" spans="1:1" x14ac:dyDescent="0.25">
      <c r="A53" s="46"/>
    </row>
  </sheetData>
  <sheetProtection algorithmName="SHA-512" hashValue="chmaUuPbkCZ9hx73QOca7QubJuFc02DBqnGwCcaoodLvPaWY9QoCK1S6+3pm+DuPUjMr3r6r5eZkX2RmrtQ9lg==" saltValue="FUsmAhWpoY2J9yk7eljNAQ==" spinCount="100000" sheet="1" objects="1" scenarios="1"/>
  <conditionalFormatting sqref="K6:K8">
    <cfRule type="expression" dxfId="28" priority="1">
      <formula>#REF!="y"</formula>
    </cfRule>
  </conditionalFormatting>
  <conditionalFormatting sqref="K9 K24 K26">
    <cfRule type="expression" dxfId="27" priority="9">
      <formula>$K9="y"</formula>
    </cfRule>
  </conditionalFormatting>
  <conditionalFormatting sqref="K10:K11">
    <cfRule type="expression" dxfId="26" priority="2">
      <formula>$M10="y"</formula>
    </cfRule>
  </conditionalFormatting>
  <conditionalFormatting sqref="K12:K23">
    <cfRule type="expression" dxfId="25" priority="6">
      <formula>#REF!="y"</formula>
    </cfRule>
  </conditionalFormatting>
  <conditionalFormatting sqref="K25">
    <cfRule type="expression" dxfId="24" priority="5">
      <formula>$M25="y"</formula>
    </cfRule>
  </conditionalFormatting>
  <conditionalFormatting sqref="K27">
    <cfRule type="expression" dxfId="23" priority="3">
      <formula>$M27="y"</formula>
    </cfRule>
  </conditionalFormatting>
  <conditionalFormatting sqref="L9 L24:L26">
    <cfRule type="expression" dxfId="22" priority="8">
      <formula>#REF!="y"</formula>
    </cfRule>
  </conditionalFormatting>
  <pageMargins left="0.25" right="0.25" top="0.75" bottom="0.75" header="0.3" footer="0.3"/>
  <pageSetup scale="9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ED4B1-668F-43B6-B5D3-7CE62A3A7B22}">
  <sheetPr>
    <pageSetUpPr fitToPage="1"/>
  </sheetPr>
  <dimension ref="A1:AH57"/>
  <sheetViews>
    <sheetView showGridLines="0" zoomScale="90" zoomScaleNormal="90" workbookViewId="0">
      <selection activeCell="P52" sqref="P52"/>
    </sheetView>
  </sheetViews>
  <sheetFormatPr defaultColWidth="9.140625" defaultRowHeight="15" outlineLevelCol="1" x14ac:dyDescent="0.25"/>
  <cols>
    <col min="1" max="1" width="2.7109375" style="978" customWidth="1"/>
    <col min="2" max="6" width="10.28515625" style="978" hidden="1" customWidth="1" outlineLevel="1"/>
    <col min="7" max="7" width="1.7109375" style="978" hidden="1" customWidth="1" outlineLevel="1"/>
    <col min="8" max="8" width="8.85546875" style="978" hidden="1" customWidth="1" outlineLevel="1"/>
    <col min="9" max="9" width="1.7109375" style="978" hidden="1" customWidth="1" outlineLevel="1"/>
    <col min="10" max="14" width="9.42578125" style="978" hidden="1" customWidth="1" outlineLevel="1"/>
    <col min="15" max="15" width="3.140625" style="978" hidden="1" customWidth="1" outlineLevel="1"/>
    <col min="16" max="16" width="15.7109375" style="978" customWidth="1" collapsed="1"/>
    <col min="17" max="17" width="20.28515625" style="978" customWidth="1"/>
    <col min="18" max="18" width="24.28515625" style="978" customWidth="1"/>
    <col min="19" max="19" width="18.28515625" style="978" customWidth="1"/>
    <col min="20" max="20" width="18.5703125" style="979" customWidth="1"/>
    <col min="21" max="21" width="2.7109375" style="978" customWidth="1"/>
    <col min="22" max="22" width="14" style="978" hidden="1" customWidth="1" outlineLevel="1"/>
    <col min="23" max="23" width="17.42578125" style="978" hidden="1" customWidth="1" outlineLevel="1"/>
    <col min="24" max="24" width="40.28515625" style="978" hidden="1" customWidth="1" outlineLevel="1"/>
    <col min="25" max="25" width="2.7109375" style="978" hidden="1" customWidth="1" outlineLevel="1"/>
    <col min="26" max="26" width="33" style="978" hidden="1" customWidth="1" outlineLevel="1"/>
    <col min="27" max="28" width="20.85546875" style="978" hidden="1" customWidth="1" outlineLevel="1"/>
    <col min="29" max="29" width="2.7109375" style="980" hidden="1" customWidth="1" outlineLevel="1"/>
    <col min="30" max="32" width="9.85546875" style="981" hidden="1" customWidth="1" outlineLevel="1"/>
    <col min="33" max="33" width="9.85546875" style="981" customWidth="1" collapsed="1"/>
    <col min="34" max="34" width="9.85546875" style="981" customWidth="1"/>
    <col min="35" max="16384" width="9.140625" style="978"/>
  </cols>
  <sheetData>
    <row r="1" spans="2:32" ht="9.9499999999999993" customHeight="1" x14ac:dyDescent="0.25"/>
    <row r="2" spans="2:32" ht="21" x14ac:dyDescent="0.35">
      <c r="P2" s="982" t="s">
        <v>806</v>
      </c>
      <c r="R2" s="983"/>
    </row>
    <row r="3" spans="2:32" ht="15.75" x14ac:dyDescent="0.25">
      <c r="B3" s="984" t="s">
        <v>859</v>
      </c>
      <c r="C3" s="984" t="s">
        <v>860</v>
      </c>
      <c r="P3" s="985" t="s">
        <v>488</v>
      </c>
    </row>
    <row r="4" spans="2:32" ht="15.75" x14ac:dyDescent="0.25">
      <c r="B4" s="986">
        <v>210</v>
      </c>
      <c r="C4" s="986" t="s">
        <v>806</v>
      </c>
      <c r="P4" s="985"/>
    </row>
    <row r="5" spans="2:32" x14ac:dyDescent="0.25">
      <c r="P5" s="1282" t="s">
        <v>861</v>
      </c>
      <c r="Q5" s="1282"/>
      <c r="R5" s="1282"/>
      <c r="S5" s="1282"/>
      <c r="T5" s="1282"/>
      <c r="Z5" s="980"/>
      <c r="AA5" s="980"/>
      <c r="AB5" s="980"/>
      <c r="AF5" s="980"/>
    </row>
    <row r="6" spans="2:32" x14ac:dyDescent="0.25">
      <c r="E6" s="1160">
        <v>25.4</v>
      </c>
      <c r="P6" s="1282"/>
      <c r="Q6" s="1282"/>
      <c r="R6" s="1282"/>
      <c r="S6" s="1282"/>
      <c r="T6" s="1282"/>
      <c r="Z6" s="980"/>
      <c r="AA6" s="980"/>
      <c r="AB6" s="980"/>
      <c r="AF6" s="980"/>
    </row>
    <row r="7" spans="2:32" ht="14.45" customHeight="1" x14ac:dyDescent="0.25">
      <c r="P7" s="987"/>
      <c r="Q7" s="987"/>
      <c r="R7" s="987"/>
      <c r="S7" s="987"/>
    </row>
    <row r="8" spans="2:32" x14ac:dyDescent="0.25">
      <c r="B8" s="988" t="s">
        <v>635</v>
      </c>
      <c r="C8" s="989" t="s">
        <v>639</v>
      </c>
      <c r="P8" s="988" t="str">
        <f>_xlfn.CONCAT($B$8,"  ",C8)</f>
        <v>•  Class X (.00004" or .001mm tolerance)</v>
      </c>
    </row>
    <row r="9" spans="2:32" x14ac:dyDescent="0.25">
      <c r="C9" s="989" t="s">
        <v>631</v>
      </c>
      <c r="P9" s="988" t="str">
        <f t="shared" ref="P9:P10" si="0">_xlfn.CONCAT($B$8,"  ",C9)</f>
        <v>•  Go (Plus) or NoGo (Minus)</v>
      </c>
    </row>
    <row r="10" spans="2:32" x14ac:dyDescent="0.25">
      <c r="C10" s="990" t="s">
        <v>642</v>
      </c>
      <c r="P10" s="988" t="str">
        <f t="shared" si="0"/>
        <v>•  .0001" or .01mm increments</v>
      </c>
    </row>
    <row r="11" spans="2:32" ht="19.149999999999999" customHeight="1" thickBot="1" x14ac:dyDescent="0.3">
      <c r="P11" s="991"/>
      <c r="U11" s="985"/>
      <c r="V11" s="985"/>
      <c r="W11" s="985"/>
      <c r="X11" s="985"/>
      <c r="Y11" s="985"/>
    </row>
    <row r="12" spans="2:32" ht="16.5" thickBot="1" x14ac:dyDescent="0.3">
      <c r="B12" s="992" t="s">
        <v>1</v>
      </c>
      <c r="C12" s="993"/>
      <c r="E12" s="992" t="s">
        <v>2</v>
      </c>
      <c r="P12" s="994" t="s">
        <v>1402</v>
      </c>
      <c r="Q12" s="994"/>
      <c r="R12" s="994"/>
      <c r="S12" s="995"/>
      <c r="U12" s="985"/>
      <c r="V12" s="985"/>
      <c r="W12" s="985"/>
      <c r="X12" s="985"/>
      <c r="Y12" s="985"/>
      <c r="Z12" s="996" t="s">
        <v>1302</v>
      </c>
    </row>
    <row r="13" spans="2:32" ht="18" x14ac:dyDescent="0.4">
      <c r="B13" s="997" t="s">
        <v>567</v>
      </c>
      <c r="C13" s="998">
        <v>1E-4</v>
      </c>
      <c r="D13" s="999"/>
      <c r="E13" s="997" t="s">
        <v>567</v>
      </c>
      <c r="F13" s="1000">
        <v>0.01</v>
      </c>
      <c r="G13" s="1001"/>
      <c r="P13" s="1283" t="s">
        <v>9</v>
      </c>
      <c r="Q13" s="1002" t="s">
        <v>124</v>
      </c>
      <c r="R13" s="1003"/>
      <c r="S13" s="1285" t="s">
        <v>568</v>
      </c>
      <c r="U13" s="985"/>
      <c r="V13" s="985"/>
      <c r="W13" s="985"/>
      <c r="X13" s="985"/>
      <c r="Y13" s="985"/>
    </row>
    <row r="14" spans="2:32" ht="15.75" x14ac:dyDescent="0.25">
      <c r="B14" s="1004" t="s">
        <v>6</v>
      </c>
      <c r="C14" s="1005"/>
      <c r="E14" s="1004" t="s">
        <v>7</v>
      </c>
      <c r="F14" s="1005"/>
      <c r="G14" s="1001"/>
      <c r="J14" s="1006" t="s">
        <v>622</v>
      </c>
      <c r="K14" s="1007" t="s">
        <v>623</v>
      </c>
      <c r="L14" s="1008" t="s">
        <v>626</v>
      </c>
      <c r="M14" s="1009"/>
      <c r="N14" s="1010">
        <v>0.25</v>
      </c>
      <c r="P14" s="1284"/>
      <c r="Q14" s="1011" t="s">
        <v>4</v>
      </c>
      <c r="R14" s="1011" t="s">
        <v>5</v>
      </c>
      <c r="S14" s="1286"/>
      <c r="U14" s="985"/>
      <c r="V14" s="985"/>
      <c r="W14" s="1012" t="s">
        <v>9</v>
      </c>
      <c r="X14" s="1012" t="s">
        <v>1303</v>
      </c>
      <c r="Y14" s="985"/>
    </row>
    <row r="15" spans="2:32" ht="15.75" x14ac:dyDescent="0.25">
      <c r="B15" s="1013">
        <v>1.5599999999999999E-2</v>
      </c>
      <c r="C15" s="1014">
        <v>0.125</v>
      </c>
      <c r="D15" s="978">
        <f>((C15-B15)/0.0001)+1</f>
        <v>1095</v>
      </c>
      <c r="E15" s="1015">
        <v>0.39600000000000002</v>
      </c>
      <c r="F15" s="1016">
        <f>ROUND(C15*$E$6,2)</f>
        <v>3.18</v>
      </c>
      <c r="G15" s="1017"/>
      <c r="H15" s="1018">
        <v>1</v>
      </c>
      <c r="I15" s="1018"/>
      <c r="J15" s="1019">
        <v>0</v>
      </c>
      <c r="K15" s="1020">
        <v>500</v>
      </c>
      <c r="L15" s="1021">
        <f>IF(K15=0,0,K15-J15)</f>
        <v>500</v>
      </c>
      <c r="M15" s="1022">
        <f t="shared" ref="M15:M20" si="1">IFERROR((L15/J15),0)</f>
        <v>0</v>
      </c>
      <c r="N15" s="1023">
        <f>(1-$N$14)*K15</f>
        <v>375</v>
      </c>
      <c r="P15" s="1024" t="str">
        <f>V15</f>
        <v>MG25-1</v>
      </c>
      <c r="Q15" s="1025" t="str">
        <f>_xlfn.CONCAT(TEXT($B15,"#.0000"),""""," - ",TEXT($C15,"#.0000"),"""")</f>
        <v>.0156" - .1250"</v>
      </c>
      <c r="R15" s="1025" t="str">
        <f>_xlfn.CONCAT(TEXT($E15,"#.00"),"mm"," - ",TEXT($F15,"#.00"),"mm")</f>
        <v>.40mm - 3.18mm</v>
      </c>
      <c r="S15" s="1026">
        <f>$K15</f>
        <v>500</v>
      </c>
      <c r="T15" s="1071"/>
      <c r="U15" s="1027"/>
      <c r="V15" s="1027" t="str">
        <f>_xlfn.CONCAT("MG25-",H15)</f>
        <v>MG25-1</v>
      </c>
      <c r="W15" s="1027" t="s">
        <v>1304</v>
      </c>
      <c r="X15" s="1028" t="str">
        <f t="shared" ref="X15:X20" si="2">_xlfn.CONCAT(Z15," ",AA15)</f>
        <v>CL. X MG-25 Set, 25-PCS (.0156 - .125")</v>
      </c>
      <c r="Y15" s="1027"/>
      <c r="Z15" s="1028" t="str">
        <f>$Z$12</f>
        <v>CL. X MG-25 Set, 25-PCS</v>
      </c>
      <c r="AA15" s="1028" t="str">
        <f>_xlfn.CONCAT("(",TEXT($B15,"#.000#")," - ",TEXT($C15,"#.000#"),"""",")")</f>
        <v>(.0156 - .125")</v>
      </c>
      <c r="AB15" s="1028" t="str">
        <f>_xlfn.CONCAT(TEXT($E15,"#.00")," - ",TEXT($F15,"#.00"),"mm")</f>
        <v>.40 - 3.18mm</v>
      </c>
      <c r="AD15" s="981">
        <f t="shared" ref="AD15:AD20" si="3">LEN(X15)</f>
        <v>39</v>
      </c>
      <c r="AE15" s="981">
        <f t="shared" ref="AE15:AF20" si="4">LEN(Z15)</f>
        <v>23</v>
      </c>
      <c r="AF15" s="981">
        <f t="shared" si="4"/>
        <v>15</v>
      </c>
    </row>
    <row r="16" spans="2:32" ht="15.75" x14ac:dyDescent="0.25">
      <c r="B16" s="1029">
        <f>C15+$C$13</f>
        <v>0.12509999999999999</v>
      </c>
      <c r="C16" s="1014">
        <v>0.25</v>
      </c>
      <c r="D16" s="978">
        <f t="shared" ref="D16:D20" si="5">((C16-B16)/0.0001)+1</f>
        <v>1250</v>
      </c>
      <c r="E16" s="1016">
        <f>F15+$F$13</f>
        <v>3.19</v>
      </c>
      <c r="F16" s="1016">
        <f>C16*$E$6</f>
        <v>6.35</v>
      </c>
      <c r="G16" s="1017"/>
      <c r="H16" s="1018">
        <v>2</v>
      </c>
      <c r="I16" s="1018"/>
      <c r="J16" s="1019">
        <v>0</v>
      </c>
      <c r="K16" s="1020">
        <v>400</v>
      </c>
      <c r="L16" s="1021">
        <f t="shared" ref="L16:L20" si="6">IF(K16=0,0,K16-J16)</f>
        <v>400</v>
      </c>
      <c r="M16" s="1022">
        <f t="shared" si="1"/>
        <v>0</v>
      </c>
      <c r="N16" s="1023">
        <f t="shared" ref="N16:N20" si="7">(1-$N$14)*K16</f>
        <v>300</v>
      </c>
      <c r="P16" s="1030" t="str">
        <f t="shared" ref="P16:P20" si="8">V16</f>
        <v>MG25-2</v>
      </c>
      <c r="Q16" s="1031" t="str">
        <f t="shared" ref="Q16:Q20" si="9">_xlfn.CONCAT(TEXT($B16,"#.0000"),""""," - ",TEXT($C16,"#.0000"),"""")</f>
        <v>.1251" - .2500"</v>
      </c>
      <c r="R16" s="1031" t="str">
        <f t="shared" ref="R16:R20" si="10">_xlfn.CONCAT(TEXT($E16,"#.00"),"mm"," - ",TEXT($F16,"#.00"),"mm")</f>
        <v>3.19mm - 6.35mm</v>
      </c>
      <c r="S16" s="1032">
        <f t="shared" ref="S16:S20" si="11">$K16</f>
        <v>400</v>
      </c>
      <c r="T16" s="1071"/>
      <c r="U16" s="1027"/>
      <c r="V16" s="1027" t="str">
        <f t="shared" ref="V16:V20" si="12">_xlfn.CONCAT("MG25-",H16)</f>
        <v>MG25-2</v>
      </c>
      <c r="W16" s="1027" t="s">
        <v>1305</v>
      </c>
      <c r="X16" s="1028" t="str">
        <f t="shared" si="2"/>
        <v>CL. X MG-25 Set, 25-PCS (.1251 - .250")</v>
      </c>
      <c r="Y16" s="1027"/>
      <c r="Z16" s="1028" t="str">
        <f t="shared" ref="Z16:Z20" si="13">$Z$12</f>
        <v>CL. X MG-25 Set, 25-PCS</v>
      </c>
      <c r="AA16" s="1028" t="str">
        <f t="shared" ref="AA16:AA20" si="14">_xlfn.CONCAT("(",TEXT($B16,"#.000#")," - ",TEXT($C16,"#.000#"),"""",")")</f>
        <v>(.1251 - .250")</v>
      </c>
      <c r="AB16" s="1028" t="str">
        <f t="shared" ref="AB16:AB20" si="15">_xlfn.CONCAT(TEXT($E16,"#.00")," - ",TEXT($F16,"#.00"),"mm")</f>
        <v>3.19 - 6.35mm</v>
      </c>
      <c r="AD16" s="981">
        <f t="shared" si="3"/>
        <v>39</v>
      </c>
      <c r="AE16" s="981">
        <f t="shared" si="4"/>
        <v>23</v>
      </c>
      <c r="AF16" s="981">
        <f t="shared" si="4"/>
        <v>15</v>
      </c>
    </row>
    <row r="17" spans="2:32" ht="15.75" x14ac:dyDescent="0.25">
      <c r="B17" s="1029">
        <f t="shared" ref="B17:B20" si="16">C16+$C$13</f>
        <v>0.25009999999999999</v>
      </c>
      <c r="C17" s="1014">
        <v>0.375</v>
      </c>
      <c r="D17" s="978">
        <f t="shared" si="5"/>
        <v>1250</v>
      </c>
      <c r="E17" s="1016">
        <f t="shared" ref="E17:E20" si="17">F16+$F$13</f>
        <v>6.3599999999999994</v>
      </c>
      <c r="F17" s="1016">
        <f>C17*$E$6</f>
        <v>9.5249999999999986</v>
      </c>
      <c r="G17" s="1017"/>
      <c r="H17" s="1018">
        <v>3</v>
      </c>
      <c r="I17" s="1018"/>
      <c r="J17" s="1019">
        <v>0</v>
      </c>
      <c r="K17" s="1020">
        <v>320</v>
      </c>
      <c r="L17" s="1021">
        <f t="shared" si="6"/>
        <v>320</v>
      </c>
      <c r="M17" s="1022">
        <f t="shared" si="1"/>
        <v>0</v>
      </c>
      <c r="N17" s="1023">
        <f t="shared" si="7"/>
        <v>240</v>
      </c>
      <c r="P17" s="1033" t="str">
        <f t="shared" si="8"/>
        <v>MG25-3</v>
      </c>
      <c r="Q17" s="1025" t="str">
        <f t="shared" si="9"/>
        <v>.2501" - .3750"</v>
      </c>
      <c r="R17" s="1025" t="str">
        <f t="shared" si="10"/>
        <v>6.36mm - 9.53mm</v>
      </c>
      <c r="S17" s="1026">
        <f t="shared" si="11"/>
        <v>320</v>
      </c>
      <c r="T17" s="1071"/>
      <c r="U17" s="1027"/>
      <c r="V17" s="1027" t="str">
        <f t="shared" si="12"/>
        <v>MG25-3</v>
      </c>
      <c r="W17" s="1027" t="s">
        <v>1306</v>
      </c>
      <c r="X17" s="1028" t="str">
        <f t="shared" si="2"/>
        <v>CL. X MG-25 Set, 25-PCS (.2501 - .375")</v>
      </c>
      <c r="Y17" s="1027"/>
      <c r="Z17" s="1028" t="str">
        <f t="shared" si="13"/>
        <v>CL. X MG-25 Set, 25-PCS</v>
      </c>
      <c r="AA17" s="1028" t="str">
        <f t="shared" si="14"/>
        <v>(.2501 - .375")</v>
      </c>
      <c r="AB17" s="1028" t="str">
        <f t="shared" si="15"/>
        <v>6.36 - 9.53mm</v>
      </c>
      <c r="AD17" s="981">
        <f t="shared" si="3"/>
        <v>39</v>
      </c>
      <c r="AE17" s="981">
        <f t="shared" si="4"/>
        <v>23</v>
      </c>
      <c r="AF17" s="981">
        <f t="shared" si="4"/>
        <v>15</v>
      </c>
    </row>
    <row r="18" spans="2:32" ht="15.75" x14ac:dyDescent="0.25">
      <c r="B18" s="1029">
        <f t="shared" si="16"/>
        <v>0.37509999999999999</v>
      </c>
      <c r="C18" s="1014">
        <v>0.5</v>
      </c>
      <c r="D18" s="978">
        <f t="shared" si="5"/>
        <v>1250</v>
      </c>
      <c r="E18" s="1016">
        <f t="shared" si="17"/>
        <v>9.5349999999999984</v>
      </c>
      <c r="F18" s="1016">
        <f>C18*$E$6</f>
        <v>12.7</v>
      </c>
      <c r="G18" s="1017"/>
      <c r="H18" s="1018">
        <v>4</v>
      </c>
      <c r="I18" s="1018"/>
      <c r="J18" s="1019">
        <v>0</v>
      </c>
      <c r="K18" s="1020">
        <v>380</v>
      </c>
      <c r="L18" s="1021">
        <f t="shared" si="6"/>
        <v>380</v>
      </c>
      <c r="M18" s="1022">
        <f t="shared" si="1"/>
        <v>0</v>
      </c>
      <c r="N18" s="1023">
        <f t="shared" si="7"/>
        <v>285</v>
      </c>
      <c r="P18" s="1030" t="str">
        <f t="shared" si="8"/>
        <v>MG25-4</v>
      </c>
      <c r="Q18" s="1031" t="str">
        <f t="shared" si="9"/>
        <v>.3751" - .5000"</v>
      </c>
      <c r="R18" s="1031" t="str">
        <f t="shared" si="10"/>
        <v>9.54mm - 12.70mm</v>
      </c>
      <c r="S18" s="1032">
        <f t="shared" si="11"/>
        <v>380</v>
      </c>
      <c r="T18" s="1071"/>
      <c r="U18" s="1027"/>
      <c r="V18" s="1027" t="str">
        <f t="shared" si="12"/>
        <v>MG25-4</v>
      </c>
      <c r="W18" s="1027" t="s">
        <v>1307</v>
      </c>
      <c r="X18" s="1028" t="str">
        <f t="shared" si="2"/>
        <v>CL. X MG-25 Set, 25-PCS (.3751 - .500")</v>
      </c>
      <c r="Y18" s="1027"/>
      <c r="Z18" s="1028" t="str">
        <f t="shared" si="13"/>
        <v>CL. X MG-25 Set, 25-PCS</v>
      </c>
      <c r="AA18" s="1028" t="str">
        <f t="shared" si="14"/>
        <v>(.3751 - .500")</v>
      </c>
      <c r="AB18" s="1028" t="str">
        <f t="shared" si="15"/>
        <v>9.54 - 12.70mm</v>
      </c>
      <c r="AD18" s="981">
        <f t="shared" si="3"/>
        <v>39</v>
      </c>
      <c r="AE18" s="981">
        <f t="shared" si="4"/>
        <v>23</v>
      </c>
      <c r="AF18" s="981">
        <f t="shared" si="4"/>
        <v>15</v>
      </c>
    </row>
    <row r="19" spans="2:32" ht="15.75" x14ac:dyDescent="0.25">
      <c r="B19" s="1029">
        <f t="shared" si="16"/>
        <v>0.50009999999999999</v>
      </c>
      <c r="C19" s="1014">
        <v>0.625</v>
      </c>
      <c r="D19" s="978">
        <f t="shared" si="5"/>
        <v>1250</v>
      </c>
      <c r="E19" s="1016">
        <f t="shared" si="17"/>
        <v>12.709999999999999</v>
      </c>
      <c r="F19" s="1016">
        <f>C19*$E$6</f>
        <v>15.875</v>
      </c>
      <c r="G19" s="1017"/>
      <c r="H19" s="1018">
        <v>5</v>
      </c>
      <c r="I19" s="1018"/>
      <c r="J19" s="1019">
        <v>0</v>
      </c>
      <c r="K19" s="1020">
        <v>460</v>
      </c>
      <c r="L19" s="1021">
        <f t="shared" si="6"/>
        <v>460</v>
      </c>
      <c r="M19" s="1022">
        <f t="shared" si="1"/>
        <v>0</v>
      </c>
      <c r="N19" s="1023">
        <f t="shared" si="7"/>
        <v>345</v>
      </c>
      <c r="P19" s="1033" t="str">
        <f t="shared" si="8"/>
        <v>MG25-5</v>
      </c>
      <c r="Q19" s="1025" t="str">
        <f t="shared" si="9"/>
        <v>.5001" - .6250"</v>
      </c>
      <c r="R19" s="1025" t="str">
        <f t="shared" si="10"/>
        <v>12.71mm - 15.88mm</v>
      </c>
      <c r="S19" s="1026">
        <f t="shared" si="11"/>
        <v>460</v>
      </c>
      <c r="T19" s="1071"/>
      <c r="U19" s="1027"/>
      <c r="V19" s="1027" t="str">
        <f t="shared" si="12"/>
        <v>MG25-5</v>
      </c>
      <c r="W19" s="1027" t="s">
        <v>1308</v>
      </c>
      <c r="X19" s="1028" t="str">
        <f t="shared" si="2"/>
        <v>CL. X MG-25 Set, 25-PCS (.5001 - .625")</v>
      </c>
      <c r="Y19" s="1027"/>
      <c r="Z19" s="1028" t="str">
        <f t="shared" si="13"/>
        <v>CL. X MG-25 Set, 25-PCS</v>
      </c>
      <c r="AA19" s="1028" t="str">
        <f t="shared" si="14"/>
        <v>(.5001 - .625")</v>
      </c>
      <c r="AB19" s="1028" t="str">
        <f t="shared" si="15"/>
        <v>12.71 - 15.88mm</v>
      </c>
      <c r="AD19" s="981">
        <f t="shared" si="3"/>
        <v>39</v>
      </c>
      <c r="AE19" s="981">
        <f t="shared" si="4"/>
        <v>23</v>
      </c>
      <c r="AF19" s="981">
        <f t="shared" si="4"/>
        <v>15</v>
      </c>
    </row>
    <row r="20" spans="2:32" ht="16.5" thickBot="1" x14ac:dyDescent="0.3">
      <c r="B20" s="1029">
        <f t="shared" si="16"/>
        <v>0.62509999999999999</v>
      </c>
      <c r="C20" s="1014">
        <v>0.875</v>
      </c>
      <c r="D20" s="978">
        <f t="shared" si="5"/>
        <v>2500</v>
      </c>
      <c r="E20" s="1016">
        <f t="shared" si="17"/>
        <v>15.885</v>
      </c>
      <c r="F20" s="1016">
        <f>C20*$E$6</f>
        <v>22.224999999999998</v>
      </c>
      <c r="H20" s="1018">
        <v>6</v>
      </c>
      <c r="I20" s="1018"/>
      <c r="J20" s="1019">
        <v>0</v>
      </c>
      <c r="K20" s="1020">
        <v>520</v>
      </c>
      <c r="L20" s="1021">
        <f t="shared" si="6"/>
        <v>520</v>
      </c>
      <c r="M20" s="1022">
        <f t="shared" si="1"/>
        <v>0</v>
      </c>
      <c r="N20" s="1023">
        <f t="shared" si="7"/>
        <v>390</v>
      </c>
      <c r="P20" s="1034" t="str">
        <f t="shared" si="8"/>
        <v>MG25-6</v>
      </c>
      <c r="Q20" s="1035" t="str">
        <f t="shared" si="9"/>
        <v>.6251" - .8750"</v>
      </c>
      <c r="R20" s="1035" t="str">
        <f t="shared" si="10"/>
        <v>15.89mm - 22.23mm</v>
      </c>
      <c r="S20" s="1036">
        <f t="shared" si="11"/>
        <v>520</v>
      </c>
      <c r="T20" s="1071"/>
      <c r="U20" s="1027"/>
      <c r="V20" s="1027" t="str">
        <f t="shared" si="12"/>
        <v>MG25-6</v>
      </c>
      <c r="W20" s="1027" t="s">
        <v>1309</v>
      </c>
      <c r="X20" s="1028" t="str">
        <f t="shared" si="2"/>
        <v>CL. X MG-25 Set, 25-PCS (.6251 - .875")</v>
      </c>
      <c r="Y20" s="1027"/>
      <c r="Z20" s="1028" t="str">
        <f t="shared" si="13"/>
        <v>CL. X MG-25 Set, 25-PCS</v>
      </c>
      <c r="AA20" s="1028" t="str">
        <f t="shared" si="14"/>
        <v>(.6251 - .875")</v>
      </c>
      <c r="AB20" s="1028" t="str">
        <f t="shared" si="15"/>
        <v>15.89 - 22.23mm</v>
      </c>
      <c r="AD20" s="981">
        <f t="shared" si="3"/>
        <v>39</v>
      </c>
      <c r="AE20" s="981">
        <f t="shared" si="4"/>
        <v>23</v>
      </c>
      <c r="AF20" s="981">
        <f t="shared" si="4"/>
        <v>15</v>
      </c>
    </row>
    <row r="21" spans="2:32" ht="9.9499999999999993" customHeight="1" x14ac:dyDescent="0.25">
      <c r="U21" s="985"/>
      <c r="V21" s="985"/>
      <c r="W21" s="985"/>
      <c r="X21" s="985"/>
      <c r="Y21" s="985"/>
    </row>
    <row r="22" spans="2:32" ht="15.6" customHeight="1" x14ac:dyDescent="0.25">
      <c r="B22" s="1014">
        <v>1E-4</v>
      </c>
      <c r="P22" s="979" t="s">
        <v>724</v>
      </c>
      <c r="U22" s="985"/>
      <c r="V22" s="985"/>
      <c r="W22" s="1037"/>
      <c r="X22" s="1037"/>
      <c r="Y22" s="1037"/>
      <c r="Z22" s="1037"/>
      <c r="AA22" s="1037"/>
      <c r="AB22" s="1037"/>
      <c r="AC22" s="1037"/>
      <c r="AD22" s="1037"/>
      <c r="AE22" s="1037"/>
      <c r="AF22" s="1037"/>
    </row>
    <row r="23" spans="2:32" ht="15.75" x14ac:dyDescent="0.25">
      <c r="U23" s="985"/>
      <c r="V23" s="985"/>
      <c r="W23" s="1037"/>
      <c r="X23" s="1037"/>
      <c r="Y23" s="1037"/>
      <c r="Z23" s="1037"/>
      <c r="AA23" s="1037"/>
      <c r="AB23" s="1037"/>
      <c r="AC23" s="1037"/>
      <c r="AD23" s="1037"/>
      <c r="AE23" s="1037"/>
      <c r="AF23" s="1037"/>
    </row>
    <row r="24" spans="2:32" ht="15.75" x14ac:dyDescent="0.25">
      <c r="B24" s="1013">
        <v>1.0999999999999999E-2</v>
      </c>
      <c r="C24" s="1038" t="s">
        <v>1347</v>
      </c>
      <c r="D24" s="1038" t="s">
        <v>1348</v>
      </c>
      <c r="U24" s="985"/>
      <c r="V24" s="985"/>
      <c r="W24" s="1037"/>
      <c r="X24" s="1037"/>
      <c r="Y24" s="1037"/>
      <c r="Z24" s="1037"/>
      <c r="AA24" s="1037"/>
      <c r="AB24" s="1037"/>
      <c r="AC24" s="1037"/>
      <c r="AD24" s="1037"/>
      <c r="AE24" s="1037"/>
      <c r="AF24" s="1037"/>
    </row>
    <row r="25" spans="2:32" ht="15.75" x14ac:dyDescent="0.25">
      <c r="B25" s="1018">
        <v>1</v>
      </c>
      <c r="C25" s="1029">
        <f>$B$24-(PRODUCT($B25,$C$13))</f>
        <v>1.09E-2</v>
      </c>
      <c r="D25" s="1029">
        <f>$B$24+(PRODUCT($B25,$C$13))</f>
        <v>1.1099999999999999E-2</v>
      </c>
      <c r="U25" s="985"/>
      <c r="V25" s="985"/>
      <c r="W25" s="1037"/>
      <c r="X25" s="1037"/>
      <c r="Y25" s="1037"/>
      <c r="Z25" s="1037"/>
      <c r="AA25" s="1037"/>
      <c r="AB25" s="1037"/>
      <c r="AC25" s="1037"/>
      <c r="AD25" s="1037"/>
      <c r="AE25" s="1037"/>
      <c r="AF25" s="1037"/>
    </row>
    <row r="26" spans="2:32" ht="15.75" x14ac:dyDescent="0.25">
      <c r="B26" s="1018">
        <v>2</v>
      </c>
      <c r="C26" s="1029">
        <f t="shared" ref="C26:C36" si="18">$B$24-(PRODUCT($B26,$C$13))</f>
        <v>1.0799999999999999E-2</v>
      </c>
      <c r="D26" s="1029">
        <f t="shared" ref="D26:D36" si="19">$B$24+(PRODUCT($B26,$C$13))</f>
        <v>1.12E-2</v>
      </c>
      <c r="U26" s="985"/>
      <c r="V26" s="985"/>
      <c r="W26" s="1037"/>
      <c r="X26" s="1037"/>
      <c r="Y26" s="1037"/>
      <c r="Z26" s="1037"/>
      <c r="AA26" s="1037"/>
      <c r="AB26" s="1037"/>
      <c r="AC26" s="1037"/>
      <c r="AD26" s="1037"/>
      <c r="AE26" s="1037"/>
      <c r="AF26" s="1037"/>
    </row>
    <row r="27" spans="2:32" x14ac:dyDescent="0.25">
      <c r="B27" s="1018">
        <v>3</v>
      </c>
      <c r="C27" s="1029">
        <f t="shared" si="18"/>
        <v>1.0699999999999999E-2</v>
      </c>
      <c r="D27" s="1029">
        <f t="shared" si="19"/>
        <v>1.1299999999999999E-2</v>
      </c>
      <c r="W27" s="1037"/>
      <c r="X27" s="1037"/>
      <c r="Y27" s="1037"/>
      <c r="Z27" s="1037"/>
      <c r="AA27" s="1037"/>
      <c r="AB27" s="1037"/>
      <c r="AC27" s="1037"/>
      <c r="AD27" s="1037"/>
      <c r="AE27" s="1037"/>
      <c r="AF27" s="1037"/>
    </row>
    <row r="28" spans="2:32" x14ac:dyDescent="0.25">
      <c r="B28" s="1018">
        <v>4</v>
      </c>
      <c r="C28" s="1029">
        <f t="shared" si="18"/>
        <v>1.06E-2</v>
      </c>
      <c r="D28" s="1029">
        <f t="shared" si="19"/>
        <v>1.1399999999999999E-2</v>
      </c>
      <c r="W28" s="1037"/>
      <c r="X28" s="1037"/>
      <c r="Y28" s="1037"/>
      <c r="Z28" s="1037"/>
      <c r="AA28" s="1037"/>
      <c r="AB28" s="1037"/>
      <c r="AC28" s="1037"/>
      <c r="AD28" s="1037"/>
      <c r="AE28" s="1037"/>
      <c r="AF28" s="1037"/>
    </row>
    <row r="29" spans="2:32" x14ac:dyDescent="0.25">
      <c r="B29" s="1018">
        <v>5</v>
      </c>
      <c r="C29" s="1029">
        <f t="shared" si="18"/>
        <v>1.0499999999999999E-2</v>
      </c>
      <c r="D29" s="1029">
        <f t="shared" si="19"/>
        <v>1.15E-2</v>
      </c>
      <c r="Q29" s="1039"/>
      <c r="W29" s="1037"/>
      <c r="X29" s="1037"/>
      <c r="Y29" s="1037"/>
      <c r="Z29" s="1037"/>
      <c r="AA29" s="1037"/>
      <c r="AB29" s="1037"/>
      <c r="AC29" s="1037"/>
      <c r="AD29" s="1037"/>
      <c r="AE29" s="1037"/>
      <c r="AF29" s="1037"/>
    </row>
    <row r="30" spans="2:32" x14ac:dyDescent="0.25">
      <c r="B30" s="1018">
        <v>6</v>
      </c>
      <c r="C30" s="1029">
        <f t="shared" si="18"/>
        <v>1.04E-2</v>
      </c>
      <c r="D30" s="1029">
        <f t="shared" si="19"/>
        <v>1.1599999999999999E-2</v>
      </c>
      <c r="Y30" s="1037"/>
      <c r="Z30" s="1037"/>
      <c r="AA30" s="1037"/>
      <c r="AB30" s="1037"/>
      <c r="AC30" s="1037"/>
      <c r="AD30" s="1037"/>
      <c r="AE30" s="1037"/>
      <c r="AF30" s="1037"/>
    </row>
    <row r="31" spans="2:32" x14ac:dyDescent="0.25">
      <c r="B31" s="1018">
        <v>7</v>
      </c>
      <c r="C31" s="1029">
        <f t="shared" si="18"/>
        <v>1.03E-2</v>
      </c>
      <c r="D31" s="1029">
        <f t="shared" si="19"/>
        <v>1.1699999999999999E-2</v>
      </c>
      <c r="W31" s="1037"/>
      <c r="X31" s="1037"/>
      <c r="Y31" s="1037"/>
      <c r="Z31" s="1037"/>
      <c r="AA31" s="1037"/>
      <c r="AB31" s="1037"/>
      <c r="AC31" s="1037"/>
      <c r="AD31" s="1037"/>
      <c r="AE31" s="1037"/>
      <c r="AF31" s="1037"/>
    </row>
    <row r="32" spans="2:32" x14ac:dyDescent="0.25">
      <c r="B32" s="1018">
        <v>8</v>
      </c>
      <c r="C32" s="1029">
        <f t="shared" si="18"/>
        <v>1.0199999999999999E-2</v>
      </c>
      <c r="D32" s="1029">
        <f t="shared" si="19"/>
        <v>1.18E-2</v>
      </c>
      <c r="W32" s="1037"/>
      <c r="X32" s="1037"/>
      <c r="Y32" s="1037"/>
      <c r="Z32" s="1037"/>
      <c r="AA32" s="1037"/>
      <c r="AB32" s="1037"/>
      <c r="AC32" s="1037"/>
      <c r="AD32" s="1037"/>
      <c r="AE32" s="1037"/>
      <c r="AF32" s="1037"/>
    </row>
    <row r="33" spans="2:32" x14ac:dyDescent="0.25">
      <c r="B33" s="1018">
        <v>9</v>
      </c>
      <c r="C33" s="1029">
        <f t="shared" si="18"/>
        <v>1.01E-2</v>
      </c>
      <c r="D33" s="1029">
        <f t="shared" si="19"/>
        <v>1.1899999999999999E-2</v>
      </c>
      <c r="W33" s="1037"/>
      <c r="X33" s="1037"/>
      <c r="Y33" s="1037"/>
      <c r="Z33" s="1037"/>
      <c r="AA33" s="1037"/>
      <c r="AB33" s="1037"/>
      <c r="AC33" s="1037"/>
      <c r="AD33" s="1037"/>
      <c r="AE33" s="1037"/>
      <c r="AF33" s="1037"/>
    </row>
    <row r="34" spans="2:32" x14ac:dyDescent="0.25">
      <c r="B34" s="1018">
        <v>10</v>
      </c>
      <c r="C34" s="1029">
        <f t="shared" si="18"/>
        <v>9.9999999999999985E-3</v>
      </c>
      <c r="D34" s="1029">
        <f t="shared" si="19"/>
        <v>1.2E-2</v>
      </c>
      <c r="W34" s="1037"/>
      <c r="X34" s="1037"/>
      <c r="Y34" s="1037"/>
      <c r="Z34" s="1037"/>
      <c r="AA34" s="1037"/>
      <c r="AB34" s="1037"/>
      <c r="AC34" s="1037"/>
      <c r="AD34" s="1037"/>
      <c r="AE34" s="1037"/>
      <c r="AF34" s="1037"/>
    </row>
    <row r="35" spans="2:32" x14ac:dyDescent="0.25">
      <c r="B35" s="1018">
        <v>11</v>
      </c>
      <c r="C35" s="1029">
        <f t="shared" si="18"/>
        <v>9.8999999999999991E-3</v>
      </c>
      <c r="D35" s="1029">
        <f t="shared" si="19"/>
        <v>1.21E-2</v>
      </c>
      <c r="W35" s="1037"/>
      <c r="X35" s="1037"/>
      <c r="Y35" s="1037"/>
      <c r="Z35" s="1037"/>
      <c r="AA35" s="1037"/>
      <c r="AB35" s="1037"/>
      <c r="AC35" s="1037"/>
      <c r="AD35" s="1037"/>
      <c r="AE35" s="1037"/>
      <c r="AF35" s="1037"/>
    </row>
    <row r="36" spans="2:32" x14ac:dyDescent="0.25">
      <c r="B36" s="1018">
        <v>12</v>
      </c>
      <c r="C36" s="1029">
        <f t="shared" si="18"/>
        <v>9.7999999999999997E-3</v>
      </c>
      <c r="D36" s="1029">
        <f t="shared" si="19"/>
        <v>1.2199999999999999E-2</v>
      </c>
      <c r="W36" s="1037"/>
      <c r="X36" s="1037"/>
      <c r="Y36" s="1037"/>
      <c r="Z36" s="1037"/>
      <c r="AA36" s="1037"/>
      <c r="AB36" s="1037"/>
      <c r="AC36" s="1037"/>
      <c r="AD36" s="1037"/>
      <c r="AE36" s="1037"/>
      <c r="AF36" s="1037"/>
    </row>
    <row r="37" spans="2:32" x14ac:dyDescent="0.25">
      <c r="W37" s="1037"/>
      <c r="X37" s="1037"/>
      <c r="Y37" s="1037"/>
      <c r="Z37" s="1037"/>
      <c r="AA37" s="1037"/>
      <c r="AB37" s="1037"/>
      <c r="AC37" s="1037"/>
      <c r="AD37" s="1037"/>
      <c r="AE37" s="1037"/>
      <c r="AF37" s="1037"/>
    </row>
    <row r="38" spans="2:32" x14ac:dyDescent="0.25">
      <c r="W38" s="1037"/>
      <c r="X38" s="1037"/>
      <c r="Y38" s="1037"/>
      <c r="Z38" s="1037"/>
      <c r="AA38" s="1037"/>
      <c r="AB38" s="1037"/>
      <c r="AC38" s="1037"/>
      <c r="AD38" s="1037"/>
      <c r="AE38" s="1037"/>
      <c r="AF38" s="1037"/>
    </row>
    <row r="39" spans="2:32" x14ac:dyDescent="0.25">
      <c r="B39" s="990" t="s">
        <v>125</v>
      </c>
      <c r="W39" s="1037"/>
      <c r="X39" s="1037"/>
      <c r="Y39" s="1037"/>
      <c r="Z39" s="1037"/>
      <c r="AA39" s="1037"/>
      <c r="AB39" s="1037"/>
      <c r="AC39" s="1037"/>
      <c r="AD39" s="1037"/>
      <c r="AE39" s="1037"/>
      <c r="AF39" s="1037"/>
    </row>
    <row r="40" spans="2:32" x14ac:dyDescent="0.25">
      <c r="B40" s="990" t="s">
        <v>1416</v>
      </c>
      <c r="W40" s="1037"/>
      <c r="X40" s="1037"/>
      <c r="Y40" s="1037"/>
      <c r="Z40" s="1037"/>
      <c r="AA40" s="1037"/>
      <c r="AB40" s="1037"/>
      <c r="AC40" s="1037"/>
      <c r="AD40" s="1037"/>
      <c r="AE40" s="1037"/>
      <c r="AF40" s="1037"/>
    </row>
    <row r="41" spans="2:32" x14ac:dyDescent="0.25">
      <c r="B41" s="990" t="s">
        <v>126</v>
      </c>
      <c r="W41" s="1037"/>
      <c r="X41" s="1037"/>
      <c r="Y41" s="1037"/>
      <c r="Z41" s="1037"/>
      <c r="AA41" s="1037"/>
      <c r="AB41" s="1037"/>
      <c r="AC41" s="1037"/>
      <c r="AD41" s="1037"/>
      <c r="AE41" s="1037"/>
      <c r="AF41" s="1037"/>
    </row>
    <row r="42" spans="2:32" x14ac:dyDescent="0.25">
      <c r="B42" s="990" t="s">
        <v>127</v>
      </c>
      <c r="W42" s="1037"/>
      <c r="X42" s="1037"/>
      <c r="Y42" s="1037"/>
      <c r="Z42" s="1037"/>
      <c r="AA42" s="1037"/>
      <c r="AB42" s="1037"/>
      <c r="AC42" s="1037"/>
      <c r="AD42" s="1037"/>
      <c r="AE42" s="1037"/>
      <c r="AF42" s="1037"/>
    </row>
    <row r="43" spans="2:32" x14ac:dyDescent="0.25">
      <c r="B43" s="990" t="s">
        <v>128</v>
      </c>
      <c r="W43" s="1037"/>
      <c r="X43" s="1037"/>
      <c r="Y43" s="1037"/>
      <c r="Z43" s="1037"/>
      <c r="AA43" s="1037"/>
      <c r="AB43" s="1037"/>
      <c r="AC43" s="1037"/>
      <c r="AD43" s="1037"/>
      <c r="AE43" s="1037"/>
      <c r="AF43" s="1037"/>
    </row>
    <row r="44" spans="2:32" x14ac:dyDescent="0.25">
      <c r="W44" s="1037"/>
      <c r="X44" s="1037"/>
      <c r="Y44" s="1037"/>
      <c r="Z44" s="1037"/>
      <c r="AA44" s="1037"/>
      <c r="AB44" s="1037"/>
      <c r="AC44" s="1037"/>
      <c r="AD44" s="1037"/>
      <c r="AE44" s="1037"/>
      <c r="AF44" s="1037"/>
    </row>
    <row r="45" spans="2:32" x14ac:dyDescent="0.25">
      <c r="W45" s="1037"/>
      <c r="X45" s="1037"/>
      <c r="Y45" s="1037"/>
      <c r="Z45" s="1037"/>
      <c r="AA45" s="1037"/>
      <c r="AB45" s="1037"/>
      <c r="AC45" s="1037"/>
      <c r="AD45" s="1037"/>
      <c r="AE45" s="1037"/>
      <c r="AF45" s="1037"/>
    </row>
    <row r="46" spans="2:32" x14ac:dyDescent="0.25">
      <c r="W46" s="1037"/>
      <c r="X46" s="1037"/>
      <c r="Y46" s="1037"/>
      <c r="Z46" s="1037"/>
      <c r="AA46" s="1037"/>
      <c r="AB46" s="1037"/>
      <c r="AC46" s="1037"/>
      <c r="AD46" s="1037"/>
      <c r="AE46" s="1037"/>
      <c r="AF46" s="1037"/>
    </row>
    <row r="47" spans="2:32" x14ac:dyDescent="0.25">
      <c r="W47" s="1037"/>
      <c r="X47" s="1037"/>
      <c r="Y47" s="1037"/>
      <c r="Z47" s="1037"/>
      <c r="AA47" s="1037"/>
      <c r="AB47" s="1037"/>
      <c r="AC47" s="1037"/>
      <c r="AD47" s="1037"/>
      <c r="AE47" s="1037"/>
      <c r="AF47" s="1037"/>
    </row>
    <row r="48" spans="2:32" x14ac:dyDescent="0.25">
      <c r="W48" s="1037"/>
      <c r="X48" s="1037"/>
      <c r="Y48" s="1037"/>
      <c r="Z48" s="1037"/>
      <c r="AA48" s="1037"/>
      <c r="AB48" s="1037"/>
      <c r="AC48" s="1037"/>
      <c r="AD48" s="1037"/>
      <c r="AE48" s="1037"/>
      <c r="AF48" s="1037"/>
    </row>
    <row r="49" spans="1:32" x14ac:dyDescent="0.25">
      <c r="W49" s="1037"/>
      <c r="X49" s="1037"/>
      <c r="Y49" s="1037"/>
      <c r="Z49" s="1037"/>
      <c r="AA49" s="1037"/>
      <c r="AB49" s="1037"/>
      <c r="AC49" s="1037"/>
      <c r="AD49" s="1037"/>
      <c r="AE49" s="1037"/>
      <c r="AF49" s="1037"/>
    </row>
    <row r="50" spans="1:32" ht="15.75" x14ac:dyDescent="0.25">
      <c r="W50" s="985"/>
      <c r="Z50" s="996"/>
    </row>
    <row r="51" spans="1:32" ht="15.75" x14ac:dyDescent="0.25">
      <c r="W51" s="1012"/>
      <c r="X51" s="1012"/>
      <c r="Y51" s="985"/>
      <c r="AA51" s="1040"/>
      <c r="AB51" s="1040"/>
      <c r="AD51" s="1041"/>
    </row>
    <row r="52" spans="1:32" ht="15.75" x14ac:dyDescent="0.25">
      <c r="W52" s="985"/>
      <c r="X52" s="1028"/>
      <c r="Y52" s="1027"/>
      <c r="Z52" s="1028"/>
      <c r="AA52" s="1028"/>
      <c r="AB52" s="1028"/>
    </row>
    <row r="53" spans="1:32" ht="15.75" x14ac:dyDescent="0.25">
      <c r="W53" s="985"/>
      <c r="X53" s="1028"/>
      <c r="Y53" s="1027"/>
      <c r="Z53" s="1028"/>
      <c r="AA53" s="1028"/>
      <c r="AB53" s="1028"/>
    </row>
    <row r="54" spans="1:32" ht="15.75" x14ac:dyDescent="0.25">
      <c r="A54" s="1042"/>
      <c r="W54" s="985"/>
      <c r="X54" s="1028"/>
      <c r="Y54" s="1027"/>
      <c r="Z54" s="1028"/>
      <c r="AA54" s="1028"/>
      <c r="AB54" s="1028"/>
    </row>
    <row r="55" spans="1:32" ht="15.75" x14ac:dyDescent="0.25">
      <c r="X55" s="1028"/>
      <c r="Y55" s="1027"/>
      <c r="Z55" s="1028"/>
      <c r="AA55" s="1028"/>
      <c r="AB55" s="1028"/>
    </row>
    <row r="56" spans="1:32" ht="15.75" x14ac:dyDescent="0.25">
      <c r="X56" s="1028"/>
      <c r="Y56" s="1027"/>
      <c r="Z56" s="1028"/>
      <c r="AA56" s="1028"/>
      <c r="AB56" s="1028"/>
    </row>
    <row r="57" spans="1:32" ht="15.75" x14ac:dyDescent="0.25">
      <c r="X57" s="1028"/>
      <c r="Y57" s="1027"/>
      <c r="Z57" s="1028"/>
      <c r="AA57" s="1028"/>
      <c r="AB57" s="1028"/>
    </row>
  </sheetData>
  <sheetProtection algorithmName="SHA-512" hashValue="jx1bRZ9P2jL84hdP6sUFFj534mqQamBrge13pAyhCS+EHjcLXu+fki4Dq92qC4SwceXOZ20k1AY/S6GtndoAIA==" saltValue="X0cHdBGlZdBmEqAkht77zg==" spinCount="100000" sheet="1" objects="1" scenarios="1"/>
  <mergeCells count="3">
    <mergeCell ref="P5:T6"/>
    <mergeCell ref="P13:P14"/>
    <mergeCell ref="S13:S14"/>
  </mergeCells>
  <conditionalFormatting sqref="P8:P10">
    <cfRule type="expression" dxfId="21" priority="1">
      <formula>#REF!="y"</formula>
    </cfRule>
  </conditionalFormatting>
  <pageMargins left="0.25" right="0.25" top="0.75" bottom="0.75" header="0.3" footer="0.3"/>
  <pageSetup scale="26" fitToHeight="0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F56F3-9B8F-40B0-9D48-9BFD2020665C}">
  <sheetPr codeName="Sheet15">
    <outlinePr summaryBelow="0"/>
    <pageSetUpPr autoPageBreaks="0" fitToPage="1"/>
  </sheetPr>
  <dimension ref="A1:AZ62"/>
  <sheetViews>
    <sheetView showGridLines="0" zoomScale="90" zoomScaleNormal="90" workbookViewId="0">
      <selection activeCell="AA68" sqref="AA68"/>
    </sheetView>
  </sheetViews>
  <sheetFormatPr defaultColWidth="8.85546875" defaultRowHeight="15" outlineLevelRow="1" outlineLevelCol="1" x14ac:dyDescent="0.25"/>
  <cols>
    <col min="1" max="1" width="2.7109375" customWidth="1"/>
    <col min="2" max="3" width="9" style="73" hidden="1" customWidth="1" outlineLevel="1"/>
    <col min="4" max="4" width="2.7109375" style="74" hidden="1" customWidth="1" outlineLevel="1"/>
    <col min="5" max="6" width="10.5703125" style="73" hidden="1" customWidth="1" outlineLevel="1"/>
    <col min="7" max="7" width="1.7109375" style="74" hidden="1" customWidth="1" outlineLevel="1"/>
    <col min="8" max="9" width="11.85546875" style="73" hidden="1" customWidth="1" outlineLevel="1"/>
    <col min="10" max="10" width="1.7109375" hidden="1" customWidth="1" outlineLevel="1"/>
    <col min="11" max="11" width="11.28515625" hidden="1" customWidth="1" outlineLevel="1"/>
    <col min="12" max="12" width="10" hidden="1" customWidth="1" outlineLevel="1"/>
    <col min="13" max="13" width="10.28515625" hidden="1" customWidth="1" outlineLevel="1"/>
    <col min="14" max="14" width="10.7109375" hidden="1" customWidth="1" outlineLevel="1"/>
    <col min="15" max="15" width="1.7109375" hidden="1" customWidth="1" outlineLevel="1"/>
    <col min="16" max="17" width="10.7109375" hidden="1" customWidth="1" outlineLevel="1"/>
    <col min="18" max="18" width="1.7109375" hidden="1" customWidth="1" outlineLevel="1"/>
    <col min="19" max="22" width="11.42578125" hidden="1" customWidth="1" outlineLevel="1"/>
    <col min="23" max="23" width="1.7109375" style="74" hidden="1" customWidth="1" outlineLevel="1"/>
    <col min="24" max="25" width="10.85546875" style="74" hidden="1" customWidth="1" outlineLevel="1"/>
    <col min="26" max="26" width="2.7109375" style="73" hidden="1" customWidth="1" outlineLevel="1"/>
    <col min="27" max="27" width="20.140625" style="73" customWidth="1" collapsed="1"/>
    <col min="28" max="28" width="20.140625" style="73" customWidth="1"/>
    <col min="29" max="29" width="16.28515625" style="73" customWidth="1"/>
    <col min="30" max="31" width="18.7109375" style="73" customWidth="1"/>
    <col min="32" max="32" width="2.7109375" customWidth="1"/>
    <col min="33" max="33" width="19.5703125" hidden="1" customWidth="1" outlineLevel="1"/>
    <col min="34" max="35" width="19.5703125" style="51" hidden="1" customWidth="1" outlineLevel="1"/>
    <col min="36" max="36" width="1.7109375" hidden="1" customWidth="1" outlineLevel="1"/>
    <col min="37" max="39" width="21.85546875" style="51" hidden="1" customWidth="1" outlineLevel="1"/>
    <col min="40" max="40" width="16.7109375" style="51" hidden="1" customWidth="1" outlineLevel="1"/>
    <col min="41" max="41" width="16.7109375" style="51" customWidth="1" collapsed="1"/>
    <col min="42" max="45" width="16.7109375" style="73" customWidth="1"/>
    <col min="46" max="16384" width="8.85546875" style="73"/>
  </cols>
  <sheetData>
    <row r="1" spans="1:52" ht="9.9499999999999993" customHeight="1" x14ac:dyDescent="0.25"/>
    <row r="2" spans="1:52" s="51" customFormat="1" ht="21" collapsed="1" x14ac:dyDescent="0.35">
      <c r="A2"/>
      <c r="B2" s="831" t="s">
        <v>723</v>
      </c>
      <c r="C2" s="831"/>
      <c r="D2" s="832"/>
      <c r="E2" s="833"/>
      <c r="F2" s="833"/>
      <c r="G2" s="74"/>
      <c r="H2" s="73"/>
      <c r="I2" s="73"/>
      <c r="J2"/>
      <c r="K2"/>
      <c r="L2"/>
      <c r="M2"/>
      <c r="N2"/>
      <c r="O2"/>
      <c r="P2"/>
      <c r="Q2"/>
      <c r="R2"/>
      <c r="S2"/>
      <c r="T2"/>
      <c r="U2"/>
      <c r="V2"/>
      <c r="W2" s="74"/>
      <c r="X2" s="74"/>
      <c r="Y2" s="74"/>
      <c r="Z2" s="73"/>
      <c r="AA2" s="860" t="s">
        <v>602</v>
      </c>
      <c r="AB2" s="87"/>
      <c r="AC2" s="39"/>
      <c r="AD2" s="76"/>
      <c r="AE2" s="73"/>
      <c r="AF2"/>
      <c r="AG2" s="860" t="s">
        <v>1294</v>
      </c>
      <c r="AJ2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</row>
    <row r="3" spans="1:52" s="393" customFormat="1" hidden="1" outlineLevel="1" x14ac:dyDescent="0.25">
      <c r="A3"/>
      <c r="B3" s="574" t="s">
        <v>859</v>
      </c>
      <c r="C3" s="574" t="s">
        <v>860</v>
      </c>
      <c r="H3" s="574" t="s">
        <v>859</v>
      </c>
      <c r="I3" s="574" t="s">
        <v>860</v>
      </c>
      <c r="J3"/>
      <c r="K3"/>
      <c r="L3"/>
      <c r="M3"/>
      <c r="N3"/>
      <c r="O3"/>
      <c r="P3"/>
      <c r="Q3"/>
      <c r="R3"/>
      <c r="S3"/>
      <c r="T3"/>
      <c r="U3"/>
      <c r="V3"/>
      <c r="W3" s="74"/>
      <c r="X3" s="74"/>
      <c r="Y3" s="74"/>
      <c r="Z3" s="73"/>
      <c r="AA3" s="392"/>
      <c r="AB3" s="392"/>
      <c r="AE3" s="73"/>
      <c r="AF3" s="202"/>
      <c r="AG3" s="202"/>
      <c r="AJ3" s="202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</row>
    <row r="4" spans="1:52" s="393" customFormat="1" hidden="1" outlineLevel="1" x14ac:dyDescent="0.25">
      <c r="A4"/>
      <c r="B4"/>
      <c r="C4"/>
      <c r="J4"/>
      <c r="M4"/>
      <c r="N4"/>
      <c r="O4"/>
      <c r="P4"/>
      <c r="Q4"/>
      <c r="R4"/>
      <c r="U4"/>
      <c r="V4"/>
      <c r="W4" s="74"/>
      <c r="X4" s="74"/>
      <c r="Y4" s="74"/>
      <c r="Z4" s="73"/>
      <c r="AA4" s="392"/>
      <c r="AB4" s="392"/>
      <c r="AC4"/>
      <c r="AD4"/>
      <c r="AE4" s="73"/>
      <c r="AF4" s="202"/>
      <c r="AG4" s="202"/>
      <c r="AJ4" s="202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</row>
    <row r="5" spans="1:52" s="393" customFormat="1" hidden="1" outlineLevel="1" x14ac:dyDescent="0.25">
      <c r="A5"/>
      <c r="B5" s="2">
        <v>220</v>
      </c>
      <c r="C5" s="2" t="s">
        <v>810</v>
      </c>
      <c r="H5" s="2">
        <v>225</v>
      </c>
      <c r="I5" s="2" t="s">
        <v>811</v>
      </c>
      <c r="J5"/>
      <c r="M5"/>
      <c r="N5"/>
      <c r="O5"/>
      <c r="P5"/>
      <c r="Q5"/>
      <c r="R5"/>
      <c r="U5"/>
      <c r="V5"/>
      <c r="W5" s="74"/>
      <c r="X5" s="74"/>
      <c r="Y5" s="74"/>
      <c r="Z5" s="73"/>
      <c r="AA5" s="392"/>
      <c r="AB5" s="392"/>
      <c r="AC5"/>
      <c r="AD5"/>
      <c r="AE5" s="73"/>
      <c r="AF5" s="202"/>
      <c r="AG5" s="202"/>
      <c r="AJ5" s="202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</row>
    <row r="6" spans="1:52" s="393" customFormat="1" hidden="1" outlineLevel="1" x14ac:dyDescent="0.25">
      <c r="A6"/>
      <c r="B6" s="2">
        <v>230</v>
      </c>
      <c r="C6" s="2" t="s">
        <v>812</v>
      </c>
      <c r="H6" s="2">
        <v>235</v>
      </c>
      <c r="I6" s="2" t="s">
        <v>813</v>
      </c>
      <c r="M6" s="13"/>
      <c r="N6" s="13"/>
      <c r="O6" s="13"/>
      <c r="P6" s="13"/>
      <c r="Q6" s="13"/>
      <c r="R6" s="13"/>
      <c r="U6" s="13"/>
      <c r="V6"/>
      <c r="W6"/>
      <c r="X6"/>
      <c r="Y6"/>
      <c r="Z6"/>
      <c r="AA6" s="392"/>
      <c r="AB6" s="392"/>
      <c r="AC6"/>
      <c r="AD6"/>
      <c r="AE6" s="73"/>
      <c r="AF6" s="202"/>
      <c r="AG6" s="202"/>
      <c r="AJ6" s="202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</row>
    <row r="7" spans="1:52" s="393" customFormat="1" hidden="1" outlineLevel="1" x14ac:dyDescent="0.25">
      <c r="A7"/>
      <c r="B7" s="2">
        <v>236</v>
      </c>
      <c r="C7" s="2" t="s">
        <v>814</v>
      </c>
      <c r="H7" s="2">
        <v>237</v>
      </c>
      <c r="I7" s="2" t="s">
        <v>815</v>
      </c>
      <c r="J7"/>
      <c r="M7" s="13"/>
      <c r="N7" s="13"/>
      <c r="O7" s="13"/>
      <c r="P7" s="13"/>
      <c r="Q7" s="13"/>
      <c r="R7" s="13"/>
      <c r="U7" s="13"/>
      <c r="V7"/>
      <c r="W7" s="74"/>
      <c r="X7" s="74"/>
      <c r="Y7" s="74"/>
      <c r="Z7" s="73"/>
      <c r="AA7" s="392"/>
      <c r="AB7" s="392"/>
      <c r="AC7"/>
      <c r="AD7"/>
      <c r="AE7" s="73"/>
      <c r="AF7" s="202"/>
      <c r="AG7" s="202"/>
      <c r="AJ7" s="202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</row>
    <row r="8" spans="1:52" s="393" customFormat="1" hidden="1" outlineLevel="1" x14ac:dyDescent="0.25">
      <c r="A8"/>
      <c r="B8" s="13"/>
      <c r="C8" s="13"/>
      <c r="H8" s="13"/>
      <c r="I8" s="13"/>
      <c r="J8"/>
      <c r="M8" s="13"/>
      <c r="N8" s="13"/>
      <c r="O8" s="13"/>
      <c r="P8" s="13"/>
      <c r="Q8" s="13"/>
      <c r="R8" s="13"/>
      <c r="U8" s="13"/>
      <c r="V8"/>
      <c r="W8" s="74"/>
      <c r="X8" s="74"/>
      <c r="Y8" s="74"/>
      <c r="Z8" s="73"/>
      <c r="AA8" s="392"/>
      <c r="AB8" s="392"/>
      <c r="AC8"/>
      <c r="AD8"/>
      <c r="AE8" s="73"/>
      <c r="AF8" s="202"/>
      <c r="AG8" s="202"/>
      <c r="AJ8" s="202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</row>
    <row r="9" spans="1:52" s="393" customFormat="1" hidden="1" outlineLevel="1" x14ac:dyDescent="0.25">
      <c r="A9"/>
      <c r="B9" s="2">
        <v>240</v>
      </c>
      <c r="C9" s="2" t="s">
        <v>816</v>
      </c>
      <c r="H9" s="2">
        <v>245</v>
      </c>
      <c r="I9" s="2" t="s">
        <v>817</v>
      </c>
      <c r="J9"/>
      <c r="M9" s="13"/>
      <c r="N9" s="13"/>
      <c r="O9" s="13"/>
      <c r="P9" s="13"/>
      <c r="Q9" s="13"/>
      <c r="R9" s="13"/>
      <c r="U9" s="13"/>
      <c r="V9"/>
      <c r="W9" s="74"/>
      <c r="X9" s="74"/>
      <c r="Y9" s="74"/>
      <c r="Z9" s="73"/>
      <c r="AA9" s="392"/>
      <c r="AB9" s="392"/>
      <c r="AC9"/>
      <c r="AD9"/>
      <c r="AE9" s="73"/>
      <c r="AF9" s="202"/>
      <c r="AG9" s="202"/>
      <c r="AJ9" s="202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</row>
    <row r="10" spans="1:52" s="393" customFormat="1" hidden="1" outlineLevel="1" x14ac:dyDescent="0.25">
      <c r="A10"/>
      <c r="B10" s="2">
        <v>250</v>
      </c>
      <c r="C10" s="2" t="s">
        <v>818</v>
      </c>
      <c r="H10" s="2">
        <v>255</v>
      </c>
      <c r="I10" s="2" t="s">
        <v>819</v>
      </c>
      <c r="J10"/>
      <c r="M10" s="13"/>
      <c r="N10" s="13"/>
      <c r="O10" s="13"/>
      <c r="P10" s="13"/>
      <c r="Q10" s="13"/>
      <c r="R10" s="13"/>
      <c r="U10" s="13"/>
      <c r="V10"/>
      <c r="W10" s="74"/>
      <c r="X10" s="74"/>
      <c r="Y10" s="74"/>
      <c r="Z10" s="73"/>
      <c r="AA10" s="392"/>
      <c r="AB10" s="392"/>
      <c r="AC10"/>
      <c r="AD10"/>
      <c r="AE10" s="73"/>
      <c r="AF10" s="202"/>
      <c r="AG10" s="202"/>
      <c r="AJ10" s="202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</row>
    <row r="11" spans="1:52" s="393" customFormat="1" hidden="1" outlineLevel="1" x14ac:dyDescent="0.25">
      <c r="A11"/>
      <c r="B11" s="2">
        <v>256</v>
      </c>
      <c r="C11" s="2" t="s">
        <v>820</v>
      </c>
      <c r="H11" s="2">
        <v>257</v>
      </c>
      <c r="I11" s="2" t="s">
        <v>821</v>
      </c>
      <c r="J11"/>
      <c r="M11" s="13"/>
      <c r="N11" s="13"/>
      <c r="O11" s="13"/>
      <c r="P11" s="13"/>
      <c r="Q11" s="13"/>
      <c r="R11" s="13"/>
      <c r="U11" s="13"/>
      <c r="V11"/>
      <c r="W11" s="74"/>
      <c r="X11" s="74"/>
      <c r="Y11" s="74"/>
      <c r="Z11" s="73"/>
      <c r="AA11" s="392"/>
      <c r="AB11" s="392"/>
      <c r="AC11"/>
      <c r="AD11"/>
      <c r="AE11" s="73"/>
      <c r="AF11" s="202"/>
      <c r="AG11" s="202"/>
      <c r="AJ11" s="202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</row>
    <row r="12" spans="1:52" s="393" customFormat="1" hidden="1" outlineLevel="1" x14ac:dyDescent="0.25">
      <c r="A12"/>
      <c r="J12"/>
      <c r="M12" s="13"/>
      <c r="N12" s="13"/>
      <c r="O12" s="13"/>
      <c r="P12" s="13"/>
      <c r="Q12" s="13"/>
      <c r="R12" s="13"/>
      <c r="U12" s="13"/>
      <c r="V12"/>
      <c r="W12" s="74"/>
      <c r="X12" s="74"/>
      <c r="Y12" s="74"/>
      <c r="Z12" s="73"/>
      <c r="AA12" s="392"/>
      <c r="AB12" s="392"/>
      <c r="AC12"/>
      <c r="AD12"/>
      <c r="AE12" s="73"/>
      <c r="AF12" s="202"/>
      <c r="AG12" s="202"/>
      <c r="AJ12" s="202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</row>
    <row r="13" spans="1:52" s="393" customFormat="1" x14ac:dyDescent="0.25">
      <c r="A13"/>
      <c r="I13" s="73"/>
      <c r="J13"/>
      <c r="K13"/>
      <c r="L13"/>
      <c r="M13"/>
      <c r="N13"/>
      <c r="O13"/>
      <c r="P13"/>
      <c r="Q13"/>
      <c r="R13"/>
      <c r="S13"/>
      <c r="T13"/>
      <c r="U13"/>
      <c r="V13"/>
      <c r="W13" s="74"/>
      <c r="X13" s="74"/>
      <c r="Y13" s="74"/>
      <c r="Z13" s="73"/>
      <c r="AA13" s="392"/>
      <c r="AB13" s="392"/>
      <c r="AC13"/>
      <c r="AD13"/>
      <c r="AE13" s="73"/>
      <c r="AF13" s="202"/>
      <c r="AG13"/>
      <c r="AH13" s="861"/>
      <c r="AI13" s="861"/>
      <c r="AJ13"/>
      <c r="AK13" s="861"/>
      <c r="AL13" s="861"/>
      <c r="AM13" s="861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</row>
    <row r="14" spans="1:52" s="393" customFormat="1" x14ac:dyDescent="0.25">
      <c r="A14"/>
      <c r="B14" s="53" t="s">
        <v>924</v>
      </c>
      <c r="I14"/>
      <c r="J14"/>
      <c r="K14" s="396" t="s">
        <v>635</v>
      </c>
      <c r="L14" s="400" t="s">
        <v>921</v>
      </c>
      <c r="M14"/>
      <c r="N14"/>
      <c r="O14"/>
      <c r="P14"/>
      <c r="Q14"/>
      <c r="R14"/>
      <c r="U14" s="74"/>
      <c r="V14"/>
      <c r="Z14" s="73"/>
      <c r="AA14" s="396" t="str">
        <f>_xlfn.CONCAT($K$14,"  ",L14)</f>
        <v>•  Class Z, X, or XX</v>
      </c>
      <c r="AB14" s="392"/>
      <c r="AC14" s="49"/>
      <c r="AD14" s="392"/>
      <c r="AF14" s="202"/>
      <c r="AG14"/>
      <c r="AH14" s="861"/>
      <c r="AI14" s="861"/>
      <c r="AJ14"/>
      <c r="AK14" s="861"/>
      <c r="AL14" s="861"/>
      <c r="AM14" s="861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</row>
    <row r="15" spans="1:52" s="393" customFormat="1" x14ac:dyDescent="0.25">
      <c r="A15"/>
      <c r="B15" s="540" t="s">
        <v>740</v>
      </c>
      <c r="C15" s="83"/>
      <c r="D15" s="398"/>
      <c r="E15" s="83"/>
      <c r="F15" s="73"/>
      <c r="G15" s="74"/>
      <c r="I15"/>
      <c r="J15"/>
      <c r="K15" s="396"/>
      <c r="L15" s="77" t="s">
        <v>725</v>
      </c>
      <c r="M15"/>
      <c r="N15"/>
      <c r="O15"/>
      <c r="P15"/>
      <c r="Q15"/>
      <c r="R15"/>
      <c r="U15" s="74"/>
      <c r="V15"/>
      <c r="Z15" s="73"/>
      <c r="AA15" s="396" t="str">
        <f>_xlfn.CONCAT($K$14,"  ",L15)</f>
        <v>•  Handles marked with class, size, and tolerance direction</v>
      </c>
      <c r="AB15" s="392"/>
      <c r="AC15" s="49"/>
      <c r="AD15" s="392"/>
      <c r="AE15" s="73"/>
      <c r="AF15" s="202"/>
      <c r="AG15"/>
      <c r="AH15" s="861"/>
      <c r="AI15" s="861"/>
      <c r="AJ15"/>
      <c r="AK15" s="861"/>
      <c r="AL15" s="861"/>
      <c r="AM15" s="861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</row>
    <row r="16" spans="1:52" s="393" customFormat="1" x14ac:dyDescent="0.25">
      <c r="A16"/>
      <c r="B16" s="53" t="s">
        <v>925</v>
      </c>
      <c r="G16"/>
      <c r="H16" s="462">
        <v>25.4</v>
      </c>
      <c r="I16" s="73"/>
      <c r="J16"/>
      <c r="K16" s="73"/>
      <c r="L16" s="77" t="s">
        <v>657</v>
      </c>
      <c r="M16"/>
      <c r="N16"/>
      <c r="O16"/>
      <c r="P16"/>
      <c r="Q16"/>
      <c r="R16"/>
      <c r="U16" s="74"/>
      <c r="V16"/>
      <c r="W16" s="74"/>
      <c r="X16" s="74"/>
      <c r="Y16" s="74"/>
      <c r="Z16" s="73"/>
      <c r="AA16" s="396" t="str">
        <f>_xlfn.CONCAT($K$14,"  ",L16)</f>
        <v>•  Custom marking available – $15 per handle flat</v>
      </c>
      <c r="AB16" s="392"/>
      <c r="AC16" s="49"/>
      <c r="AD16" s="392"/>
      <c r="AE16" s="73"/>
      <c r="AF16" s="202"/>
      <c r="AG16"/>
      <c r="AH16" s="861"/>
      <c r="AI16" s="861"/>
      <c r="AJ16"/>
      <c r="AK16" s="861"/>
      <c r="AL16" s="861"/>
      <c r="AM16" s="861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</row>
    <row r="17" spans="1:52" s="393" customFormat="1" x14ac:dyDescent="0.25">
      <c r="A17"/>
      <c r="B17" s="73"/>
      <c r="C17" s="75"/>
      <c r="D17" s="74"/>
      <c r="E17" s="73"/>
      <c r="F17" s="73"/>
      <c r="G17" s="74"/>
      <c r="H17" s="73"/>
      <c r="I17" s="73"/>
      <c r="J17"/>
      <c r="K17"/>
      <c r="L17"/>
      <c r="M17"/>
      <c r="N17"/>
      <c r="O17"/>
      <c r="P17"/>
      <c r="Q17"/>
      <c r="R17"/>
      <c r="S17"/>
      <c r="T17"/>
      <c r="U17"/>
      <c r="V17"/>
      <c r="W17" s="74"/>
      <c r="X17" s="74"/>
      <c r="Y17" s="74"/>
      <c r="Z17" s="73"/>
      <c r="AA17"/>
      <c r="AB17" s="392"/>
      <c r="AC17" s="49"/>
      <c r="AD17" s="392"/>
      <c r="AE17" s="73"/>
      <c r="AF17" s="202"/>
      <c r="AG17"/>
      <c r="AH17" s="861"/>
      <c r="AI17" s="861"/>
      <c r="AJ17"/>
      <c r="AK17" s="861"/>
      <c r="AL17" s="861"/>
      <c r="AM17" s="861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</row>
    <row r="18" spans="1:52" s="393" customFormat="1" ht="6" customHeight="1" thickBot="1" x14ac:dyDescent="0.3">
      <c r="A18"/>
      <c r="C18" s="75"/>
      <c r="D18" s="74"/>
      <c r="J18"/>
      <c r="K18"/>
      <c r="L18"/>
      <c r="M18"/>
      <c r="N18"/>
      <c r="O18"/>
      <c r="P18"/>
      <c r="Q18"/>
      <c r="R18"/>
      <c r="S18"/>
      <c r="T18"/>
      <c r="U18"/>
      <c r="V18"/>
      <c r="W18" s="74"/>
      <c r="X18" s="74"/>
      <c r="Y18" s="74"/>
      <c r="Z18" s="73"/>
      <c r="AA18" s="394"/>
      <c r="AB18" s="394"/>
      <c r="AC18" s="394"/>
      <c r="AD18" s="394"/>
      <c r="AE18" s="73"/>
      <c r="AF18" s="202"/>
      <c r="AG18"/>
      <c r="AH18" s="861"/>
      <c r="AI18" s="861"/>
      <c r="AJ18"/>
      <c r="AK18" s="861"/>
      <c r="AL18" s="861"/>
      <c r="AM18" s="861"/>
      <c r="AP18" s="73"/>
      <c r="AQ18" s="73"/>
      <c r="AR18" s="73"/>
      <c r="AS18" s="73"/>
      <c r="AT18" s="73"/>
      <c r="AU18" s="73"/>
      <c r="AV18" s="73"/>
      <c r="AW18" s="73"/>
    </row>
    <row r="19" spans="1:52" s="396" customFormat="1" ht="15.75" x14ac:dyDescent="0.25">
      <c r="A19"/>
      <c r="B19" s="395" t="s">
        <v>196</v>
      </c>
      <c r="C19" s="50" t="s">
        <v>616</v>
      </c>
      <c r="D19" s="86"/>
      <c r="E19" s="81"/>
      <c r="F19" s="81"/>
      <c r="G19" s="86"/>
      <c r="H19" s="422">
        <v>1E-4</v>
      </c>
      <c r="I19" s="422">
        <v>2.5000000000000001E-3</v>
      </c>
      <c r="J19"/>
      <c r="K19"/>
      <c r="L19"/>
      <c r="M19"/>
      <c r="N19"/>
      <c r="O19"/>
      <c r="P19"/>
      <c r="Q19"/>
      <c r="R19"/>
      <c r="S19"/>
      <c r="T19"/>
      <c r="U19"/>
      <c r="V19"/>
      <c r="W19" s="86"/>
      <c r="X19" s="86"/>
      <c r="Y19" s="86"/>
      <c r="Z19" s="81"/>
      <c r="AA19" s="914" t="str">
        <f>_xlfn.CONCAT("Class ",$B19,"  (",TEXT($H19,".0000#"),""""," or ",TEXT($I19,".000#"),"mm)")</f>
        <v>Class Z  (.0001" or .0025mm)</v>
      </c>
      <c r="AB19" s="597"/>
      <c r="AC19" s="597"/>
      <c r="AD19" s="597"/>
      <c r="AE19" s="598"/>
      <c r="AF19" s="202"/>
      <c r="AG19" s="870" t="str">
        <f>_xlfn.CONCAT("Class ",$B19)</f>
        <v>Class Z</v>
      </c>
      <c r="AH19" s="597"/>
      <c r="AI19" s="597"/>
      <c r="AJ19" s="592"/>
      <c r="AK19" s="597"/>
      <c r="AL19" s="597"/>
      <c r="AM19" s="597"/>
      <c r="AP19" s="81"/>
      <c r="AQ19" s="81"/>
      <c r="AR19" s="81"/>
      <c r="AS19" s="81"/>
      <c r="AT19" s="81"/>
      <c r="AU19" s="81"/>
      <c r="AV19" s="81"/>
      <c r="AW19" s="81"/>
    </row>
    <row r="20" spans="1:52" s="83" customFormat="1" ht="18" x14ac:dyDescent="0.4">
      <c r="A20"/>
      <c r="C20" s="50"/>
      <c r="D20" s="85"/>
      <c r="E20" s="53" t="s">
        <v>567</v>
      </c>
      <c r="F20" s="54">
        <v>5.0000000000000001E-4</v>
      </c>
      <c r="H20" s="53" t="s">
        <v>567</v>
      </c>
      <c r="I20" s="56">
        <v>0.01</v>
      </c>
      <c r="J20"/>
      <c r="K20" s="16" t="s">
        <v>185</v>
      </c>
      <c r="L20" s="16"/>
      <c r="M20" s="16"/>
      <c r="O20" s="374"/>
      <c r="P20" s="374"/>
      <c r="Q20" s="374"/>
      <c r="R20"/>
      <c r="S20" s="16" t="s">
        <v>199</v>
      </c>
      <c r="T20" s="16"/>
      <c r="U20" s="16"/>
      <c r="Y20" s="85"/>
      <c r="Z20" s="81"/>
      <c r="AA20" s="446" t="s">
        <v>3</v>
      </c>
      <c r="AB20" s="184"/>
      <c r="AC20" s="1287" t="s">
        <v>397</v>
      </c>
      <c r="AD20" s="445" t="s">
        <v>568</v>
      </c>
      <c r="AE20" s="185"/>
      <c r="AF20" s="868"/>
      <c r="AG20" s="867" t="s">
        <v>4</v>
      </c>
      <c r="AH20" s="866"/>
      <c r="AI20" s="866"/>
      <c r="AJ20"/>
      <c r="AK20" s="867" t="s">
        <v>5</v>
      </c>
      <c r="AL20" s="866"/>
      <c r="AM20" s="866"/>
      <c r="AP20" s="81"/>
      <c r="AQ20" s="81"/>
      <c r="AR20" s="81"/>
      <c r="AS20" s="81"/>
      <c r="AT20" s="81"/>
      <c r="AU20" s="81"/>
      <c r="AV20" s="81"/>
      <c r="AW20" s="81"/>
    </row>
    <row r="21" spans="1:52" s="83" customFormat="1" ht="15.75" x14ac:dyDescent="0.25">
      <c r="A21"/>
      <c r="C21" s="84"/>
      <c r="D21" s="85"/>
      <c r="E21" s="79" t="s">
        <v>574</v>
      </c>
      <c r="F21" s="79" t="s">
        <v>575</v>
      </c>
      <c r="G21" s="411"/>
      <c r="H21" s="79" t="s">
        <v>574</v>
      </c>
      <c r="I21" s="79" t="s">
        <v>575</v>
      </c>
      <c r="J21"/>
      <c r="K21" s="264" t="s">
        <v>622</v>
      </c>
      <c r="L21" s="264" t="s">
        <v>623</v>
      </c>
      <c r="M21" s="566" t="s">
        <v>626</v>
      </c>
      <c r="N21" s="365">
        <v>0.35</v>
      </c>
      <c r="O21" s="11"/>
      <c r="P21" s="365">
        <v>0.4</v>
      </c>
      <c r="Q21" s="566" t="s">
        <v>626</v>
      </c>
      <c r="R21"/>
      <c r="S21" s="264" t="s">
        <v>622</v>
      </c>
      <c r="T21" s="264" t="s">
        <v>623</v>
      </c>
      <c r="U21" s="566" t="s">
        <v>626</v>
      </c>
      <c r="V21" s="365">
        <v>0.35</v>
      </c>
      <c r="W21" s="85"/>
      <c r="X21" s="365">
        <v>0.4</v>
      </c>
      <c r="Y21" s="566" t="s">
        <v>626</v>
      </c>
      <c r="Z21" s="81"/>
      <c r="AA21" s="447" t="s">
        <v>4</v>
      </c>
      <c r="AB21" s="434" t="s">
        <v>5</v>
      </c>
      <c r="AC21" s="1288"/>
      <c r="AD21" s="864" t="s">
        <v>185</v>
      </c>
      <c r="AE21" s="865" t="s">
        <v>199</v>
      </c>
      <c r="AF21" s="868"/>
      <c r="AG21" s="468" t="s">
        <v>597</v>
      </c>
      <c r="AH21" s="862" t="s">
        <v>596</v>
      </c>
      <c r="AI21" s="863" t="s">
        <v>601</v>
      </c>
      <c r="AJ21"/>
      <c r="AK21" s="869" t="s">
        <v>597</v>
      </c>
      <c r="AL21" s="862" t="s">
        <v>596</v>
      </c>
      <c r="AM21" s="863" t="s">
        <v>601</v>
      </c>
      <c r="AP21" s="81"/>
      <c r="AQ21" s="81"/>
      <c r="AR21" s="81"/>
      <c r="AS21" s="81"/>
      <c r="AT21" s="81"/>
      <c r="AU21" s="81"/>
      <c r="AV21" s="81"/>
      <c r="AW21" s="81"/>
    </row>
    <row r="22" spans="1:52" s="83" customFormat="1" ht="15.75" x14ac:dyDescent="0.25">
      <c r="A22"/>
      <c r="B22" s="86" t="s">
        <v>196</v>
      </c>
      <c r="C22" s="82" t="s">
        <v>476</v>
      </c>
      <c r="D22" s="86"/>
      <c r="E22" s="54">
        <v>5.0000000000000001E-3</v>
      </c>
      <c r="F22" s="54">
        <v>7.5499999999999998E-2</v>
      </c>
      <c r="G22" s="412"/>
      <c r="H22" s="413">
        <v>0.22</v>
      </c>
      <c r="I22" s="458">
        <v>1.91</v>
      </c>
      <c r="J22"/>
      <c r="K22" s="346">
        <v>34</v>
      </c>
      <c r="L22" s="346">
        <v>40</v>
      </c>
      <c r="M22" s="777">
        <f>IFERROR(((L22-K22)/K22),0)</f>
        <v>0.17647058823529413</v>
      </c>
      <c r="N22" s="350">
        <f>IFERROR(((1-N$21)*L22),0)</f>
        <v>26</v>
      </c>
      <c r="O22" s="350"/>
      <c r="P22" s="350">
        <f>IFERROR(((1-P$21)*K22),0)</f>
        <v>20.399999999999999</v>
      </c>
      <c r="Q22" s="521">
        <f>((N22-P22)/P22)</f>
        <v>0.27450980392156871</v>
      </c>
      <c r="R22"/>
      <c r="S22" s="346">
        <v>58</v>
      </c>
      <c r="T22" s="346">
        <v>62</v>
      </c>
      <c r="U22" s="773">
        <f>IFERROR(((T22-S22)/S22),0)</f>
        <v>6.8965517241379309E-2</v>
      </c>
      <c r="V22" s="490">
        <f t="shared" ref="V22:V29" si="0">IFERROR(((1-V$21)*$T22),0)</f>
        <v>40.300000000000004</v>
      </c>
      <c r="W22" s="86"/>
      <c r="X22" s="772">
        <f>PRODUCT((1-$X$21),S22)</f>
        <v>34.799999999999997</v>
      </c>
      <c r="Y22" s="521">
        <f>((V22-X22)/X22)</f>
        <v>0.15804597701149448</v>
      </c>
      <c r="Z22" s="81"/>
      <c r="AA22" s="186" t="str">
        <f t="shared" ref="AA22:AA29" si="1">_xlfn.CONCAT(TEXT($E22,"#.000#"),""""," - ",TEXT($F22,"#.000#"),"""")</f>
        <v>.005" - .0755"</v>
      </c>
      <c r="AB22" s="187" t="str">
        <f t="shared" ref="AB22:AB29" si="2">_xlfn.CONCAT(TEXT($H22,"#.00")," - ",TEXT($I22,"#.00"),"mm")</f>
        <v>.22 - 1.91mm</v>
      </c>
      <c r="AC22" s="188" t="str">
        <f>$C22</f>
        <v>1W</v>
      </c>
      <c r="AD22" s="189">
        <f t="shared" ref="AD22:AD29" si="3">L22</f>
        <v>40</v>
      </c>
      <c r="AE22" s="190">
        <f t="shared" ref="AE22:AE29" si="4">T22</f>
        <v>62</v>
      </c>
      <c r="AF22" s="9"/>
      <c r="AG22" s="871" t="s">
        <v>974</v>
      </c>
      <c r="AH22" s="871" t="s">
        <v>982</v>
      </c>
      <c r="AI22" s="871" t="s">
        <v>1078</v>
      </c>
      <c r="AJ22" s="13"/>
      <c r="AK22" s="871" t="s">
        <v>990</v>
      </c>
      <c r="AL22" s="871" t="s">
        <v>998</v>
      </c>
      <c r="AM22" s="871" t="s">
        <v>1006</v>
      </c>
    </row>
    <row r="23" spans="1:52" s="83" customFormat="1" ht="15.75" x14ac:dyDescent="0.25">
      <c r="A23"/>
      <c r="B23" s="81" t="str">
        <f>B22</f>
        <v>Z</v>
      </c>
      <c r="C23" s="82" t="s">
        <v>477</v>
      </c>
      <c r="D23" s="82"/>
      <c r="E23" s="54">
        <v>7.5999999999999998E-2</v>
      </c>
      <c r="F23" s="54">
        <v>0.18049999999999999</v>
      </c>
      <c r="G23" s="414"/>
      <c r="H23" s="478">
        <f>I22+$I$20</f>
        <v>1.92</v>
      </c>
      <c r="I23" s="458">
        <v>4.57</v>
      </c>
      <c r="J23"/>
      <c r="K23" s="346">
        <v>32.5</v>
      </c>
      <c r="L23" s="346">
        <v>36</v>
      </c>
      <c r="M23" s="773">
        <f t="shared" ref="M23:M29" si="5">IFERROR(((L23-K23)/K23),0)</f>
        <v>0.1076923076923077</v>
      </c>
      <c r="N23" s="350">
        <f t="shared" ref="N23:N29" si="6">IFERROR(((1-N$21)*L23),0)</f>
        <v>23.400000000000002</v>
      </c>
      <c r="O23" s="350"/>
      <c r="P23" s="350">
        <f t="shared" ref="P23:P29" si="7">IFERROR(((1-P$21)*K23),0)</f>
        <v>19.5</v>
      </c>
      <c r="Q23" s="521">
        <f t="shared" ref="Q23:Q29" si="8">((N23-P23)/P23)</f>
        <v>0.20000000000000012</v>
      </c>
      <c r="R23"/>
      <c r="S23" s="346">
        <v>54.75</v>
      </c>
      <c r="T23" s="346">
        <v>55</v>
      </c>
      <c r="U23" s="773">
        <f t="shared" ref="U23:U29" si="9">IFERROR(((T23-S23)/S23),0)</f>
        <v>4.5662100456621002E-3</v>
      </c>
      <c r="V23" s="490">
        <f t="shared" si="0"/>
        <v>35.75</v>
      </c>
      <c r="W23" s="82"/>
      <c r="X23" s="772">
        <f t="shared" ref="X23:X29" si="10">PRODUCT((1-$X$21),S23)</f>
        <v>32.85</v>
      </c>
      <c r="Y23" s="521">
        <f t="shared" ref="Y23:Y29" si="11">((V23-X23)/X23)</f>
        <v>8.8280060882800562E-2</v>
      </c>
      <c r="Z23" s="81"/>
      <c r="AA23" s="191" t="str">
        <f t="shared" si="1"/>
        <v>.076" - .1805"</v>
      </c>
      <c r="AB23" s="192" t="str">
        <f t="shared" si="2"/>
        <v>1.92 - 4.57mm</v>
      </c>
      <c r="AC23" s="193" t="str">
        <f t="shared" ref="AC23:AC29" si="12">$C23</f>
        <v>2W</v>
      </c>
      <c r="AD23" s="194">
        <f t="shared" si="3"/>
        <v>36</v>
      </c>
      <c r="AE23" s="195">
        <f t="shared" si="4"/>
        <v>55</v>
      </c>
      <c r="AF23" s="9"/>
      <c r="AG23" s="872" t="s">
        <v>975</v>
      </c>
      <c r="AH23" s="872" t="s">
        <v>983</v>
      </c>
      <c r="AI23" s="872" t="s">
        <v>1079</v>
      </c>
      <c r="AJ23" s="13"/>
      <c r="AK23" s="872" t="s">
        <v>991</v>
      </c>
      <c r="AL23" s="872" t="s">
        <v>999</v>
      </c>
      <c r="AM23" s="872" t="s">
        <v>1007</v>
      </c>
    </row>
    <row r="24" spans="1:52" s="83" customFormat="1" ht="15.75" x14ac:dyDescent="0.25">
      <c r="A24"/>
      <c r="B24" s="81" t="str">
        <f t="shared" ref="B24:B29" si="13">B23</f>
        <v>Z</v>
      </c>
      <c r="C24" s="82" t="s">
        <v>478</v>
      </c>
      <c r="D24" s="82"/>
      <c r="E24" s="54">
        <v>0.18099999999999999</v>
      </c>
      <c r="F24" s="54">
        <v>0.28149999999999997</v>
      </c>
      <c r="G24" s="414"/>
      <c r="H24" s="478">
        <f t="shared" ref="H24:H29" si="14">I23+$I$20</f>
        <v>4.58</v>
      </c>
      <c r="I24" s="458">
        <v>7.14</v>
      </c>
      <c r="J24"/>
      <c r="K24" s="346">
        <v>34.75</v>
      </c>
      <c r="L24" s="346">
        <v>37.5</v>
      </c>
      <c r="M24" s="773">
        <f t="shared" si="5"/>
        <v>7.9136690647482008E-2</v>
      </c>
      <c r="N24" s="350">
        <f t="shared" si="6"/>
        <v>24.375</v>
      </c>
      <c r="O24" s="350"/>
      <c r="P24" s="350">
        <f t="shared" si="7"/>
        <v>20.849999999999998</v>
      </c>
      <c r="Q24" s="521">
        <f t="shared" si="8"/>
        <v>0.16906474820143896</v>
      </c>
      <c r="R24"/>
      <c r="S24" s="346">
        <v>57</v>
      </c>
      <c r="T24" s="346">
        <v>57</v>
      </c>
      <c r="U24" s="773">
        <f t="shared" si="9"/>
        <v>0</v>
      </c>
      <c r="V24" s="490">
        <f t="shared" si="0"/>
        <v>37.050000000000004</v>
      </c>
      <c r="W24" s="82"/>
      <c r="X24" s="772">
        <f>PRODUCT((1-$X$21),S24)</f>
        <v>34.199999999999996</v>
      </c>
      <c r="Y24" s="521">
        <f>((V24-X24)/X24)</f>
        <v>8.3333333333333592E-2</v>
      </c>
      <c r="Z24" s="81"/>
      <c r="AA24" s="186" t="str">
        <f t="shared" si="1"/>
        <v>.181" - .2815"</v>
      </c>
      <c r="AB24" s="187" t="str">
        <f t="shared" si="2"/>
        <v>4.58 - 7.14mm</v>
      </c>
      <c r="AC24" s="188" t="str">
        <f t="shared" si="12"/>
        <v>3W</v>
      </c>
      <c r="AD24" s="189">
        <f t="shared" si="3"/>
        <v>37.5</v>
      </c>
      <c r="AE24" s="190">
        <f t="shared" si="4"/>
        <v>57</v>
      </c>
      <c r="AF24" s="9"/>
      <c r="AG24" s="873" t="s">
        <v>976</v>
      </c>
      <c r="AH24" s="873" t="s">
        <v>984</v>
      </c>
      <c r="AI24" s="873" t="s">
        <v>1080</v>
      </c>
      <c r="AJ24" s="13"/>
      <c r="AK24" s="873" t="s">
        <v>992</v>
      </c>
      <c r="AL24" s="873" t="s">
        <v>1000</v>
      </c>
      <c r="AM24" s="873" t="s">
        <v>1008</v>
      </c>
    </row>
    <row r="25" spans="1:52" s="83" customFormat="1" ht="15.75" x14ac:dyDescent="0.25">
      <c r="A25"/>
      <c r="B25" s="81" t="str">
        <f t="shared" si="13"/>
        <v>Z</v>
      </c>
      <c r="C25" s="82" t="s">
        <v>479</v>
      </c>
      <c r="D25" s="82"/>
      <c r="E25" s="54">
        <v>0.28199999999999997</v>
      </c>
      <c r="F25" s="54">
        <v>0.40649999999999997</v>
      </c>
      <c r="G25" s="414"/>
      <c r="H25" s="478">
        <f t="shared" si="14"/>
        <v>7.1499999999999995</v>
      </c>
      <c r="I25" s="458">
        <v>10.31</v>
      </c>
      <c r="J25"/>
      <c r="K25" s="346">
        <v>35.5</v>
      </c>
      <c r="L25" s="346">
        <v>39</v>
      </c>
      <c r="M25" s="773">
        <f t="shared" si="5"/>
        <v>9.8591549295774641E-2</v>
      </c>
      <c r="N25" s="350">
        <f t="shared" si="6"/>
        <v>25.35</v>
      </c>
      <c r="O25" s="350"/>
      <c r="P25" s="350">
        <f t="shared" si="7"/>
        <v>21.3</v>
      </c>
      <c r="Q25" s="521">
        <f t="shared" si="8"/>
        <v>0.19014084507042256</v>
      </c>
      <c r="R25"/>
      <c r="S25" s="346">
        <v>57.75</v>
      </c>
      <c r="T25" s="346">
        <v>58</v>
      </c>
      <c r="U25" s="773">
        <f t="shared" si="9"/>
        <v>4.329004329004329E-3</v>
      </c>
      <c r="V25" s="490">
        <f t="shared" si="0"/>
        <v>37.700000000000003</v>
      </c>
      <c r="W25" s="82"/>
      <c r="X25" s="772">
        <f t="shared" si="10"/>
        <v>34.65</v>
      </c>
      <c r="Y25" s="521">
        <f t="shared" si="11"/>
        <v>8.8023088023088156E-2</v>
      </c>
      <c r="Z25" s="81"/>
      <c r="AA25" s="191" t="str">
        <f t="shared" si="1"/>
        <v>.282" - .4065"</v>
      </c>
      <c r="AB25" s="192" t="str">
        <f t="shared" si="2"/>
        <v>7.15 - 10.31mm</v>
      </c>
      <c r="AC25" s="193" t="str">
        <f t="shared" si="12"/>
        <v>4W</v>
      </c>
      <c r="AD25" s="196">
        <f t="shared" si="3"/>
        <v>39</v>
      </c>
      <c r="AE25" s="195">
        <f t="shared" si="4"/>
        <v>58</v>
      </c>
      <c r="AF25" s="9"/>
      <c r="AG25" s="872" t="s">
        <v>977</v>
      </c>
      <c r="AH25" s="872" t="s">
        <v>985</v>
      </c>
      <c r="AI25" s="872" t="s">
        <v>1081</v>
      </c>
      <c r="AJ25" s="13"/>
      <c r="AK25" s="872" t="s">
        <v>993</v>
      </c>
      <c r="AL25" s="872" t="s">
        <v>1001</v>
      </c>
      <c r="AM25" s="872" t="s">
        <v>1009</v>
      </c>
    </row>
    <row r="26" spans="1:52" s="83" customFormat="1" ht="15.75" x14ac:dyDescent="0.25">
      <c r="A26"/>
      <c r="B26" s="81" t="str">
        <f t="shared" si="13"/>
        <v>Z</v>
      </c>
      <c r="C26" s="82" t="s">
        <v>480</v>
      </c>
      <c r="D26" s="82"/>
      <c r="E26" s="54">
        <v>0.40699999999999997</v>
      </c>
      <c r="F26" s="54">
        <v>0.51049999999999995</v>
      </c>
      <c r="G26" s="414"/>
      <c r="H26" s="478">
        <f t="shared" si="14"/>
        <v>10.32</v>
      </c>
      <c r="I26" s="458">
        <v>12.95</v>
      </c>
      <c r="J26"/>
      <c r="K26" s="346">
        <v>40.5</v>
      </c>
      <c r="L26" s="346">
        <v>41</v>
      </c>
      <c r="M26" s="773">
        <f t="shared" si="5"/>
        <v>1.2345679012345678E-2</v>
      </c>
      <c r="N26" s="350">
        <f t="shared" si="6"/>
        <v>26.650000000000002</v>
      </c>
      <c r="O26" s="350"/>
      <c r="P26" s="350">
        <f t="shared" si="7"/>
        <v>24.3</v>
      </c>
      <c r="Q26" s="521">
        <f t="shared" si="8"/>
        <v>9.6707818930041212E-2</v>
      </c>
      <c r="R26"/>
      <c r="S26" s="346">
        <v>64</v>
      </c>
      <c r="T26" s="346">
        <v>62</v>
      </c>
      <c r="U26" s="773">
        <f t="shared" si="9"/>
        <v>-3.125E-2</v>
      </c>
      <c r="V26" s="490">
        <f t="shared" si="0"/>
        <v>40.300000000000004</v>
      </c>
      <c r="W26" s="82"/>
      <c r="X26" s="772">
        <f t="shared" si="10"/>
        <v>38.4</v>
      </c>
      <c r="Y26" s="521">
        <f t="shared" si="11"/>
        <v>4.9479166666666817E-2</v>
      </c>
      <c r="Z26" s="81"/>
      <c r="AA26" s="186" t="str">
        <f t="shared" si="1"/>
        <v>.407" - .5105"</v>
      </c>
      <c r="AB26" s="187" t="str">
        <f t="shared" si="2"/>
        <v>10.32 - 12.95mm</v>
      </c>
      <c r="AC26" s="188" t="str">
        <f t="shared" si="12"/>
        <v>5W</v>
      </c>
      <c r="AD26" s="189">
        <f t="shared" si="3"/>
        <v>41</v>
      </c>
      <c r="AE26" s="190">
        <f t="shared" si="4"/>
        <v>62</v>
      </c>
      <c r="AF26" s="9"/>
      <c r="AG26" s="873" t="s">
        <v>978</v>
      </c>
      <c r="AH26" s="873" t="s">
        <v>986</v>
      </c>
      <c r="AI26" s="873" t="s">
        <v>1082</v>
      </c>
      <c r="AJ26" s="13"/>
      <c r="AK26" s="873" t="s">
        <v>994</v>
      </c>
      <c r="AL26" s="873" t="s">
        <v>1002</v>
      </c>
      <c r="AM26" s="873" t="s">
        <v>1010</v>
      </c>
    </row>
    <row r="27" spans="1:52" s="83" customFormat="1" ht="15.75" x14ac:dyDescent="0.25">
      <c r="A27"/>
      <c r="B27" s="81" t="str">
        <f t="shared" si="13"/>
        <v>Z</v>
      </c>
      <c r="C27" s="82" t="s">
        <v>481</v>
      </c>
      <c r="D27" s="82"/>
      <c r="E27" s="54">
        <v>0.5109999999999999</v>
      </c>
      <c r="F27" s="54">
        <v>0.63549999999999995</v>
      </c>
      <c r="G27" s="414"/>
      <c r="H27" s="478">
        <f t="shared" si="14"/>
        <v>12.959999999999999</v>
      </c>
      <c r="I27" s="458">
        <v>16.13</v>
      </c>
      <c r="J27"/>
      <c r="K27" s="346">
        <v>46.75</v>
      </c>
      <c r="L27" s="346">
        <v>47.5</v>
      </c>
      <c r="M27" s="773">
        <f t="shared" si="5"/>
        <v>1.6042780748663103E-2</v>
      </c>
      <c r="N27" s="350">
        <f t="shared" si="6"/>
        <v>30.875</v>
      </c>
      <c r="O27" s="350"/>
      <c r="P27" s="350">
        <f t="shared" si="7"/>
        <v>28.05</v>
      </c>
      <c r="Q27" s="521">
        <f t="shared" si="8"/>
        <v>0.10071301247771833</v>
      </c>
      <c r="R27"/>
      <c r="S27" s="346">
        <v>73.75</v>
      </c>
      <c r="T27" s="346">
        <v>70</v>
      </c>
      <c r="U27" s="773">
        <f t="shared" si="9"/>
        <v>-5.0847457627118647E-2</v>
      </c>
      <c r="V27" s="490">
        <f t="shared" si="0"/>
        <v>45.5</v>
      </c>
      <c r="W27" s="82"/>
      <c r="X27" s="772">
        <f t="shared" si="10"/>
        <v>44.25</v>
      </c>
      <c r="Y27" s="521">
        <f t="shared" si="11"/>
        <v>2.8248587570621469E-2</v>
      </c>
      <c r="Z27" s="81"/>
      <c r="AA27" s="191" t="str">
        <f t="shared" si="1"/>
        <v>.511" - .6355"</v>
      </c>
      <c r="AB27" s="192" t="str">
        <f t="shared" si="2"/>
        <v>12.96 - 16.13mm</v>
      </c>
      <c r="AC27" s="193" t="str">
        <f t="shared" si="12"/>
        <v>6W</v>
      </c>
      <c r="AD27" s="196">
        <f t="shared" si="3"/>
        <v>47.5</v>
      </c>
      <c r="AE27" s="195">
        <f t="shared" si="4"/>
        <v>70</v>
      </c>
      <c r="AF27" s="9"/>
      <c r="AG27" s="872" t="s">
        <v>979</v>
      </c>
      <c r="AH27" s="872" t="s">
        <v>987</v>
      </c>
      <c r="AI27" s="872" t="s">
        <v>1083</v>
      </c>
      <c r="AJ27" s="13"/>
      <c r="AK27" s="872" t="s">
        <v>995</v>
      </c>
      <c r="AL27" s="872" t="s">
        <v>1003</v>
      </c>
      <c r="AM27" s="872" t="s">
        <v>1011</v>
      </c>
    </row>
    <row r="28" spans="1:52" s="83" customFormat="1" ht="15.75" x14ac:dyDescent="0.25">
      <c r="A28"/>
      <c r="B28" s="81" t="str">
        <f t="shared" si="13"/>
        <v>Z</v>
      </c>
      <c r="C28" s="82" t="s">
        <v>482</v>
      </c>
      <c r="D28" s="82"/>
      <c r="E28" s="54">
        <v>0.6359999999999999</v>
      </c>
      <c r="F28" s="54">
        <v>0.76049999999999995</v>
      </c>
      <c r="G28" s="414"/>
      <c r="H28" s="478">
        <f t="shared" si="14"/>
        <v>16.14</v>
      </c>
      <c r="I28" s="458">
        <v>19.3</v>
      </c>
      <c r="J28"/>
      <c r="K28" s="346">
        <v>54</v>
      </c>
      <c r="L28" s="346">
        <v>54</v>
      </c>
      <c r="M28" s="773">
        <f t="shared" si="5"/>
        <v>0</v>
      </c>
      <c r="N28" s="350">
        <f t="shared" si="6"/>
        <v>35.1</v>
      </c>
      <c r="O28" s="350"/>
      <c r="P28" s="350">
        <f t="shared" si="7"/>
        <v>32.4</v>
      </c>
      <c r="Q28" s="521">
        <f t="shared" si="8"/>
        <v>8.3333333333333426E-2</v>
      </c>
      <c r="R28"/>
      <c r="S28" s="346">
        <v>85</v>
      </c>
      <c r="T28" s="346">
        <v>74</v>
      </c>
      <c r="U28" s="773">
        <f t="shared" si="9"/>
        <v>-0.12941176470588237</v>
      </c>
      <c r="V28" s="490">
        <f t="shared" si="0"/>
        <v>48.1</v>
      </c>
      <c r="W28" s="82"/>
      <c r="X28" s="772">
        <f t="shared" si="10"/>
        <v>51</v>
      </c>
      <c r="Y28" s="521">
        <f t="shared" si="11"/>
        <v>-5.6862745098039187E-2</v>
      </c>
      <c r="Z28" s="81"/>
      <c r="AA28" s="186" t="str">
        <f t="shared" si="1"/>
        <v>.636" - .7605"</v>
      </c>
      <c r="AB28" s="187" t="str">
        <f t="shared" si="2"/>
        <v>16.14 - 19.30mm</v>
      </c>
      <c r="AC28" s="188" t="str">
        <f t="shared" si="12"/>
        <v>7W</v>
      </c>
      <c r="AD28" s="189">
        <f t="shared" si="3"/>
        <v>54</v>
      </c>
      <c r="AE28" s="190">
        <f t="shared" si="4"/>
        <v>74</v>
      </c>
      <c r="AF28" s="9"/>
      <c r="AG28" s="873" t="s">
        <v>980</v>
      </c>
      <c r="AH28" s="873" t="s">
        <v>988</v>
      </c>
      <c r="AI28" s="873" t="s">
        <v>1084</v>
      </c>
      <c r="AJ28" s="13"/>
      <c r="AK28" s="873" t="s">
        <v>996</v>
      </c>
      <c r="AL28" s="873" t="s">
        <v>1004</v>
      </c>
      <c r="AM28" s="873" t="s">
        <v>1012</v>
      </c>
    </row>
    <row r="29" spans="1:52" s="83" customFormat="1" ht="16.5" thickBot="1" x14ac:dyDescent="0.3">
      <c r="A29"/>
      <c r="B29" s="81" t="str">
        <f t="shared" si="13"/>
        <v>Z</v>
      </c>
      <c r="C29" s="82" t="s">
        <v>483</v>
      </c>
      <c r="D29" s="82"/>
      <c r="E29" s="54">
        <v>0.7609999999999999</v>
      </c>
      <c r="F29" s="457">
        <v>1.0149999999999999</v>
      </c>
      <c r="G29" s="414"/>
      <c r="H29" s="478">
        <f t="shared" si="14"/>
        <v>19.310000000000002</v>
      </c>
      <c r="I29" s="458">
        <v>25.65</v>
      </c>
      <c r="J29"/>
      <c r="K29" s="346">
        <v>65.5</v>
      </c>
      <c r="L29" s="346">
        <v>60</v>
      </c>
      <c r="M29" s="773">
        <f t="shared" si="5"/>
        <v>-8.3969465648854963E-2</v>
      </c>
      <c r="N29" s="350">
        <f t="shared" si="6"/>
        <v>39</v>
      </c>
      <c r="O29" s="350"/>
      <c r="P29" s="350">
        <f t="shared" si="7"/>
        <v>39.299999999999997</v>
      </c>
      <c r="Q29" s="521">
        <f t="shared" si="8"/>
        <v>-7.6335877862594706E-3</v>
      </c>
      <c r="R29"/>
      <c r="S29" s="346">
        <v>99.75</v>
      </c>
      <c r="T29" s="346">
        <v>80</v>
      </c>
      <c r="U29" s="773">
        <f t="shared" si="9"/>
        <v>-0.19799498746867167</v>
      </c>
      <c r="V29" s="490">
        <f t="shared" si="0"/>
        <v>52</v>
      </c>
      <c r="W29" s="82"/>
      <c r="X29" s="772">
        <f t="shared" si="10"/>
        <v>59.849999999999994</v>
      </c>
      <c r="Y29" s="521">
        <f t="shared" si="11"/>
        <v>-0.13116123642439423</v>
      </c>
      <c r="Z29" s="81"/>
      <c r="AA29" s="197" t="str">
        <f t="shared" si="1"/>
        <v>.761" - 1.015"</v>
      </c>
      <c r="AB29" s="198" t="str">
        <f t="shared" si="2"/>
        <v>19.31 - 25.65mm</v>
      </c>
      <c r="AC29" s="199" t="str">
        <f t="shared" si="12"/>
        <v>8W</v>
      </c>
      <c r="AD29" s="200">
        <f t="shared" si="3"/>
        <v>60</v>
      </c>
      <c r="AE29" s="201">
        <f t="shared" si="4"/>
        <v>80</v>
      </c>
      <c r="AF29" s="9"/>
      <c r="AG29" s="874" t="s">
        <v>981</v>
      </c>
      <c r="AH29" s="874" t="s">
        <v>989</v>
      </c>
      <c r="AI29" s="874" t="s">
        <v>1085</v>
      </c>
      <c r="AJ29" s="13"/>
      <c r="AK29" s="874" t="s">
        <v>997</v>
      </c>
      <c r="AL29" s="874" t="s">
        <v>1005</v>
      </c>
      <c r="AM29" s="874" t="s">
        <v>1013</v>
      </c>
    </row>
    <row r="30" spans="1:52" customFormat="1" ht="4.1500000000000004" customHeight="1" x14ac:dyDescent="0.25">
      <c r="S30" s="35"/>
      <c r="T30" s="35"/>
      <c r="V30" s="491"/>
      <c r="AA30" s="202"/>
      <c r="AB30" s="202"/>
      <c r="AC30" s="202"/>
      <c r="AD30" s="202"/>
      <c r="AE30" s="73"/>
      <c r="AF30" s="9"/>
    </row>
    <row r="31" spans="1:52" customFormat="1" ht="15.75" x14ac:dyDescent="0.25">
      <c r="S31" s="35"/>
      <c r="T31" s="35"/>
      <c r="V31" s="491"/>
      <c r="AA31" t="s">
        <v>673</v>
      </c>
      <c r="AB31" s="202"/>
      <c r="AC31" s="202"/>
      <c r="AD31" s="202"/>
      <c r="AE31" s="73"/>
      <c r="AF31" s="9"/>
    </row>
    <row r="32" spans="1:52" customFormat="1" ht="15.75" x14ac:dyDescent="0.25">
      <c r="S32" s="35"/>
      <c r="T32" s="35"/>
      <c r="AA32" s="202"/>
      <c r="AB32" s="202"/>
      <c r="AC32" s="202"/>
      <c r="AD32" s="202"/>
      <c r="AE32" s="73"/>
      <c r="AF32" s="9"/>
    </row>
    <row r="33" spans="1:39" customFormat="1" ht="6" customHeight="1" thickBot="1" x14ac:dyDescent="0.3">
      <c r="AA33" s="202"/>
      <c r="AB33" s="202"/>
      <c r="AC33" s="202"/>
      <c r="AD33" s="202"/>
      <c r="AE33" s="73"/>
      <c r="AF33" s="9"/>
    </row>
    <row r="34" spans="1:39" customFormat="1" ht="15.75" x14ac:dyDescent="0.25">
      <c r="B34" t="s">
        <v>197</v>
      </c>
      <c r="C34" s="50" t="s">
        <v>617</v>
      </c>
      <c r="H34" s="422">
        <v>4.0000000000000003E-5</v>
      </c>
      <c r="I34" s="422">
        <v>1E-3</v>
      </c>
      <c r="AA34" s="870" t="str">
        <f>_xlfn.CONCAT("Class ",$B34,"  (",TEXT($H34,".0000#"),""""," or ",TEXT($I34,".000#"),"mm)")</f>
        <v>Class X  (.00004" or .001mm)</v>
      </c>
      <c r="AB34" s="597"/>
      <c r="AC34" s="597"/>
      <c r="AD34" s="597"/>
      <c r="AE34" s="598"/>
      <c r="AF34" s="9"/>
      <c r="AG34" s="599" t="str">
        <f>_xlfn.CONCAT("Class ",$B34)</f>
        <v>Class X</v>
      </c>
      <c r="AH34" s="597"/>
      <c r="AI34" s="597"/>
      <c r="AJ34" s="597"/>
      <c r="AK34" s="597"/>
      <c r="AL34" s="597"/>
      <c r="AM34" s="597"/>
    </row>
    <row r="35" spans="1:39" s="51" customFormat="1" ht="18" customHeight="1" x14ac:dyDescent="0.4">
      <c r="A35"/>
      <c r="C35" s="50"/>
      <c r="D35" s="74"/>
      <c r="E35" s="53" t="s">
        <v>567</v>
      </c>
      <c r="F35" s="54">
        <v>1E-4</v>
      </c>
      <c r="G35" s="74"/>
      <c r="H35" s="53" t="s">
        <v>567</v>
      </c>
      <c r="I35" s="68">
        <v>1E-3</v>
      </c>
      <c r="J35"/>
      <c r="K35" s="16" t="s">
        <v>185</v>
      </c>
      <c r="L35" s="16"/>
      <c r="M35" s="16"/>
      <c r="O35" s="776"/>
      <c r="P35" s="776"/>
      <c r="Q35" s="776"/>
      <c r="R35"/>
      <c r="S35" s="16" t="s">
        <v>199</v>
      </c>
      <c r="T35" s="16"/>
      <c r="U35" s="16"/>
      <c r="W35" s="74"/>
      <c r="X35" s="74"/>
      <c r="Y35" s="74"/>
      <c r="Z35" s="73"/>
      <c r="AA35" s="446" t="s">
        <v>3</v>
      </c>
      <c r="AB35" s="184"/>
      <c r="AC35" s="1287" t="s">
        <v>397</v>
      </c>
      <c r="AD35" s="445" t="s">
        <v>568</v>
      </c>
      <c r="AE35" s="185"/>
      <c r="AF35" s="9"/>
      <c r="AG35" s="867" t="s">
        <v>4</v>
      </c>
      <c r="AH35" s="866"/>
      <c r="AI35" s="866"/>
      <c r="AJ35"/>
      <c r="AK35" s="867" t="s">
        <v>5</v>
      </c>
      <c r="AL35" s="866"/>
      <c r="AM35" s="866"/>
    </row>
    <row r="36" spans="1:39" s="51" customFormat="1" ht="15.75" x14ac:dyDescent="0.25">
      <c r="A36"/>
      <c r="C36" s="74"/>
      <c r="D36" s="74"/>
      <c r="E36" s="79" t="s">
        <v>574</v>
      </c>
      <c r="F36" s="79" t="s">
        <v>575</v>
      </c>
      <c r="G36" s="411"/>
      <c r="H36" s="79" t="s">
        <v>574</v>
      </c>
      <c r="I36" s="79" t="s">
        <v>575</v>
      </c>
      <c r="J36"/>
      <c r="K36" s="264" t="s">
        <v>622</v>
      </c>
      <c r="L36" s="264" t="s">
        <v>623</v>
      </c>
      <c r="M36" s="566" t="s">
        <v>626</v>
      </c>
      <c r="N36" s="365">
        <v>0.2</v>
      </c>
      <c r="O36" s="11"/>
      <c r="P36" s="365">
        <v>0.2</v>
      </c>
      <c r="Q36" s="566" t="s">
        <v>626</v>
      </c>
      <c r="R36"/>
      <c r="S36" s="264" t="s">
        <v>622</v>
      </c>
      <c r="T36" s="264" t="s">
        <v>623</v>
      </c>
      <c r="U36" s="566" t="s">
        <v>626</v>
      </c>
      <c r="V36" s="365">
        <v>0.2</v>
      </c>
      <c r="W36" s="74"/>
      <c r="X36" s="365">
        <v>0.2</v>
      </c>
      <c r="Y36" s="566" t="s">
        <v>626</v>
      </c>
      <c r="Z36" s="73"/>
      <c r="AA36" s="447" t="s">
        <v>4</v>
      </c>
      <c r="AB36" s="434" t="s">
        <v>5</v>
      </c>
      <c r="AC36" s="1288"/>
      <c r="AD36" s="864" t="s">
        <v>185</v>
      </c>
      <c r="AE36" s="865" t="s">
        <v>199</v>
      </c>
      <c r="AF36" s="9"/>
      <c r="AG36" s="468" t="s">
        <v>597</v>
      </c>
      <c r="AH36" s="862" t="s">
        <v>596</v>
      </c>
      <c r="AI36" s="863" t="s">
        <v>601</v>
      </c>
      <c r="AJ36"/>
      <c r="AK36" s="869" t="s">
        <v>597</v>
      </c>
      <c r="AL36" s="862" t="s">
        <v>596</v>
      </c>
      <c r="AM36" s="863" t="s">
        <v>601</v>
      </c>
    </row>
    <row r="37" spans="1:39" s="51" customFormat="1" ht="15.75" x14ac:dyDescent="0.25">
      <c r="A37"/>
      <c r="B37" s="77" t="s">
        <v>197</v>
      </c>
      <c r="C37" s="74" t="s">
        <v>476</v>
      </c>
      <c r="D37" s="77"/>
      <c r="E37" s="54">
        <v>5.0000000000000001E-3</v>
      </c>
      <c r="F37" s="54">
        <v>7.5899999999999995E-2</v>
      </c>
      <c r="G37" s="415"/>
      <c r="H37" s="479">
        <v>0.22</v>
      </c>
      <c r="I37" s="420">
        <f t="shared" ref="I37:I43" si="15">F37*$H$16</f>
        <v>1.9278599999999997</v>
      </c>
      <c r="J37"/>
      <c r="K37" s="346">
        <v>42.25</v>
      </c>
      <c r="L37" s="346">
        <v>54</v>
      </c>
      <c r="M37" s="777">
        <f>IFERROR(((L37-K37)/K37),0)</f>
        <v>0.27810650887573962</v>
      </c>
      <c r="N37" s="367">
        <f>IFERROR(((1-N$36)*K37),0)</f>
        <v>33.800000000000004</v>
      </c>
      <c r="O37" s="77"/>
      <c r="P37" s="772">
        <f>PRODUCT((1-$P$36),L37)</f>
        <v>43.2</v>
      </c>
      <c r="Q37" s="521">
        <f>((P37-N37)/N37)</f>
        <v>0.27810650887573957</v>
      </c>
      <c r="R37"/>
      <c r="S37" s="346">
        <v>72.25</v>
      </c>
      <c r="T37" s="346">
        <v>98</v>
      </c>
      <c r="U37" s="489">
        <f>IFERROR(((T37-S37)/S37),0)</f>
        <v>0.356401384083045</v>
      </c>
      <c r="V37" s="367">
        <f>IFERROR(((1-V$36)*S37),0)</f>
        <v>57.800000000000004</v>
      </c>
      <c r="W37" s="77"/>
      <c r="X37" s="772">
        <f>PRODUCT((1-$X$36),T37)</f>
        <v>78.400000000000006</v>
      </c>
      <c r="Y37" s="521">
        <f>((X37-V37)/V37)</f>
        <v>0.356401384083045</v>
      </c>
      <c r="Z37" s="73"/>
      <c r="AA37" s="186" t="str">
        <f t="shared" ref="AA37:AA44" si="16">_xlfn.CONCAT(TEXT($E37,"#.000#"),""""," - ",TEXT($F37,"#.000#"),"""")</f>
        <v>.005" - .0759"</v>
      </c>
      <c r="AB37" s="187" t="str">
        <f>_xlfn.CONCAT(TEXT($H37,"#.000")," - ",TEXT($I37,"0.000"),"mm")</f>
        <v>.220 - 1.928mm</v>
      </c>
      <c r="AC37" s="188" t="str">
        <f>$C37</f>
        <v>1W</v>
      </c>
      <c r="AD37" s="189">
        <f t="shared" ref="AD37:AD44" si="17">L37</f>
        <v>54</v>
      </c>
      <c r="AE37" s="190">
        <f t="shared" ref="AE37:AE44" si="18">T37</f>
        <v>98</v>
      </c>
      <c r="AF37" s="9"/>
      <c r="AG37" s="871" t="s">
        <v>1014</v>
      </c>
      <c r="AH37" s="871" t="s">
        <v>1022</v>
      </c>
      <c r="AI37" s="871" t="s">
        <v>1086</v>
      </c>
      <c r="AJ37" s="13"/>
      <c r="AK37" s="871" t="s">
        <v>1030</v>
      </c>
      <c r="AL37" s="871" t="s">
        <v>1038</v>
      </c>
      <c r="AM37" s="871" t="s">
        <v>1102</v>
      </c>
    </row>
    <row r="38" spans="1:39" s="51" customFormat="1" ht="15.75" x14ac:dyDescent="0.25">
      <c r="A38"/>
      <c r="B38" s="73" t="str">
        <f>B37</f>
        <v>X</v>
      </c>
      <c r="C38" s="74" t="s">
        <v>477</v>
      </c>
      <c r="D38" s="74"/>
      <c r="E38" s="54">
        <v>7.5999999999999998E-2</v>
      </c>
      <c r="F38" s="54">
        <v>0.18090000000000001</v>
      </c>
      <c r="G38" s="416"/>
      <c r="H38" s="420">
        <f>I37+$I$35</f>
        <v>1.9288599999999996</v>
      </c>
      <c r="I38" s="420">
        <f t="shared" si="15"/>
        <v>4.5948599999999997</v>
      </c>
      <c r="J38"/>
      <c r="K38" s="346">
        <v>36.5</v>
      </c>
      <c r="L38" s="346">
        <v>45</v>
      </c>
      <c r="M38" s="773">
        <f>IFERROR(((L38-K38)/K38),0)</f>
        <v>0.23287671232876711</v>
      </c>
      <c r="N38" s="367">
        <f t="shared" ref="N38:N44" si="19">IFERROR(((1-N$36)*K38),0)</f>
        <v>29.200000000000003</v>
      </c>
      <c r="O38" s="74"/>
      <c r="P38" s="772">
        <f t="shared" ref="P38:P44" si="20">PRODUCT((1-$P$36),L38)</f>
        <v>36</v>
      </c>
      <c r="Q38" s="521">
        <f t="shared" ref="Q38:Q44" si="21">((P38-N38)/N38)</f>
        <v>0.232876712328767</v>
      </c>
      <c r="R38"/>
      <c r="S38" s="346">
        <v>60.75</v>
      </c>
      <c r="T38" s="346">
        <v>74</v>
      </c>
      <c r="U38" s="489">
        <f t="shared" ref="U38:U44" si="22">IFERROR(((T38-S38)/S38),0)</f>
        <v>0.21810699588477367</v>
      </c>
      <c r="V38" s="367">
        <f t="shared" ref="V38:V44" si="23">IFERROR(((1-V$36)*S38),0)</f>
        <v>48.6</v>
      </c>
      <c r="W38" s="74"/>
      <c r="X38" s="772">
        <f t="shared" ref="X38:X44" si="24">PRODUCT((1-$X$36),T38)</f>
        <v>59.2</v>
      </c>
      <c r="Y38" s="521">
        <f t="shared" ref="Y38:Y44" si="25">((X38-V38)/V38)</f>
        <v>0.2181069958847737</v>
      </c>
      <c r="Z38" s="73"/>
      <c r="AA38" s="191" t="str">
        <f t="shared" si="16"/>
        <v>.076" - .1809"</v>
      </c>
      <c r="AB38" s="192" t="str">
        <f t="shared" ref="AB38:AB44" si="26">_xlfn.CONCAT(TEXT($H38,"#.000")," - ",TEXT($I38,"0.000"),"mm")</f>
        <v>1.929 - 4.595mm</v>
      </c>
      <c r="AC38" s="193" t="str">
        <f t="shared" ref="AC38:AC44" si="27">$C38</f>
        <v>2W</v>
      </c>
      <c r="AD38" s="194">
        <f t="shared" si="17"/>
        <v>45</v>
      </c>
      <c r="AE38" s="195">
        <f t="shared" si="18"/>
        <v>74</v>
      </c>
      <c r="AF38" s="9"/>
      <c r="AG38" s="872" t="s">
        <v>1015</v>
      </c>
      <c r="AH38" s="872" t="s">
        <v>1023</v>
      </c>
      <c r="AI38" s="872" t="s">
        <v>1087</v>
      </c>
      <c r="AJ38" s="13"/>
      <c r="AK38" s="872" t="s">
        <v>1031</v>
      </c>
      <c r="AL38" s="872" t="s">
        <v>1039</v>
      </c>
      <c r="AM38" s="872" t="s">
        <v>1103</v>
      </c>
    </row>
    <row r="39" spans="1:39" s="51" customFormat="1" ht="15.75" x14ac:dyDescent="0.25">
      <c r="A39"/>
      <c r="B39" s="73" t="str">
        <f t="shared" ref="B39:B44" si="28">B38</f>
        <v>X</v>
      </c>
      <c r="C39" s="74" t="s">
        <v>478</v>
      </c>
      <c r="D39" s="74"/>
      <c r="E39" s="54">
        <v>0.18099999999999999</v>
      </c>
      <c r="F39" s="54">
        <v>0.28189999999999998</v>
      </c>
      <c r="G39" s="416"/>
      <c r="H39" s="420">
        <f t="shared" ref="H39:H44" si="29">I38+$I$35</f>
        <v>4.5958600000000001</v>
      </c>
      <c r="I39" s="420">
        <f t="shared" si="15"/>
        <v>7.1602599999999992</v>
      </c>
      <c r="J39"/>
      <c r="K39" s="346">
        <v>39</v>
      </c>
      <c r="L39" s="346">
        <v>47.5</v>
      </c>
      <c r="M39" s="773">
        <f t="shared" ref="M39:M44" si="30">IFERROR(((L39-K39)/K39),0)</f>
        <v>0.21794871794871795</v>
      </c>
      <c r="N39" s="367">
        <f t="shared" si="19"/>
        <v>31.200000000000003</v>
      </c>
      <c r="O39" s="74"/>
      <c r="P39" s="772">
        <f t="shared" si="20"/>
        <v>38</v>
      </c>
      <c r="Q39" s="521">
        <f t="shared" si="21"/>
        <v>0.21794871794871784</v>
      </c>
      <c r="R39"/>
      <c r="S39" s="346">
        <v>62.75</v>
      </c>
      <c r="T39" s="346">
        <v>75.5</v>
      </c>
      <c r="U39" s="489">
        <f t="shared" si="22"/>
        <v>0.20318725099601595</v>
      </c>
      <c r="V39" s="367">
        <f t="shared" si="23"/>
        <v>50.2</v>
      </c>
      <c r="W39" s="74"/>
      <c r="X39" s="772">
        <f t="shared" si="24"/>
        <v>60.400000000000006</v>
      </c>
      <c r="Y39" s="521">
        <f t="shared" si="25"/>
        <v>0.20318725099601598</v>
      </c>
      <c r="Z39" s="73"/>
      <c r="AA39" s="186" t="str">
        <f t="shared" si="16"/>
        <v>.181" - .2819"</v>
      </c>
      <c r="AB39" s="187" t="str">
        <f t="shared" si="26"/>
        <v>4.596 - 7.160mm</v>
      </c>
      <c r="AC39" s="188" t="str">
        <f t="shared" si="27"/>
        <v>3W</v>
      </c>
      <c r="AD39" s="189">
        <f t="shared" si="17"/>
        <v>47.5</v>
      </c>
      <c r="AE39" s="190">
        <f t="shared" si="18"/>
        <v>75.5</v>
      </c>
      <c r="AF39" s="9"/>
      <c r="AG39" s="873" t="s">
        <v>1016</v>
      </c>
      <c r="AH39" s="873" t="s">
        <v>1024</v>
      </c>
      <c r="AI39" s="873" t="s">
        <v>1088</v>
      </c>
      <c r="AJ39" s="13"/>
      <c r="AK39" s="873" t="s">
        <v>1032</v>
      </c>
      <c r="AL39" s="873" t="s">
        <v>1040</v>
      </c>
      <c r="AM39" s="873" t="s">
        <v>1104</v>
      </c>
    </row>
    <row r="40" spans="1:39" s="51" customFormat="1" ht="15.75" x14ac:dyDescent="0.25">
      <c r="A40"/>
      <c r="B40" s="73" t="str">
        <f t="shared" si="28"/>
        <v>X</v>
      </c>
      <c r="C40" s="74" t="s">
        <v>479</v>
      </c>
      <c r="D40" s="74"/>
      <c r="E40" s="54">
        <v>0.28199999999999997</v>
      </c>
      <c r="F40" s="54">
        <v>0.40689999999999998</v>
      </c>
      <c r="G40" s="416"/>
      <c r="H40" s="420">
        <f t="shared" si="29"/>
        <v>7.1612599999999995</v>
      </c>
      <c r="I40" s="420">
        <f t="shared" si="15"/>
        <v>10.33526</v>
      </c>
      <c r="J40"/>
      <c r="K40" s="346">
        <v>41.25</v>
      </c>
      <c r="L40" s="346">
        <v>50</v>
      </c>
      <c r="M40" s="773">
        <f t="shared" si="30"/>
        <v>0.21212121212121213</v>
      </c>
      <c r="N40" s="367">
        <f t="shared" si="19"/>
        <v>33</v>
      </c>
      <c r="O40" s="74"/>
      <c r="P40" s="772">
        <f t="shared" si="20"/>
        <v>40</v>
      </c>
      <c r="Q40" s="521">
        <f t="shared" si="21"/>
        <v>0.21212121212121213</v>
      </c>
      <c r="R40"/>
      <c r="S40" s="346">
        <v>66.25</v>
      </c>
      <c r="T40" s="346">
        <v>78</v>
      </c>
      <c r="U40" s="489">
        <f t="shared" si="22"/>
        <v>0.17735849056603772</v>
      </c>
      <c r="V40" s="367">
        <f t="shared" si="23"/>
        <v>53</v>
      </c>
      <c r="W40" s="74"/>
      <c r="X40" s="772">
        <f t="shared" si="24"/>
        <v>62.400000000000006</v>
      </c>
      <c r="Y40" s="521">
        <f t="shared" si="25"/>
        <v>0.17735849056603784</v>
      </c>
      <c r="Z40" s="73"/>
      <c r="AA40" s="191" t="str">
        <f t="shared" si="16"/>
        <v>.282" - .4069"</v>
      </c>
      <c r="AB40" s="192" t="str">
        <f t="shared" si="26"/>
        <v>7.161 - 10.335mm</v>
      </c>
      <c r="AC40" s="193" t="str">
        <f t="shared" si="27"/>
        <v>4W</v>
      </c>
      <c r="AD40" s="196">
        <f t="shared" si="17"/>
        <v>50</v>
      </c>
      <c r="AE40" s="195">
        <f t="shared" si="18"/>
        <v>78</v>
      </c>
      <c r="AF40" s="9"/>
      <c r="AG40" s="872" t="s">
        <v>1017</v>
      </c>
      <c r="AH40" s="872" t="s">
        <v>1025</v>
      </c>
      <c r="AI40" s="872" t="s">
        <v>1089</v>
      </c>
      <c r="AJ40" s="13"/>
      <c r="AK40" s="872" t="s">
        <v>1033</v>
      </c>
      <c r="AL40" s="872" t="s">
        <v>1041</v>
      </c>
      <c r="AM40" s="872" t="s">
        <v>1105</v>
      </c>
    </row>
    <row r="41" spans="1:39" s="51" customFormat="1" ht="15.75" x14ac:dyDescent="0.25">
      <c r="A41"/>
      <c r="B41" s="73" t="str">
        <f t="shared" si="28"/>
        <v>X</v>
      </c>
      <c r="C41" s="74" t="s">
        <v>480</v>
      </c>
      <c r="D41" s="74"/>
      <c r="E41" s="54">
        <v>0.40699999999999997</v>
      </c>
      <c r="F41" s="54">
        <v>0.51090000000000002</v>
      </c>
      <c r="G41" s="416"/>
      <c r="H41" s="420">
        <f t="shared" si="29"/>
        <v>10.336259999999999</v>
      </c>
      <c r="I41" s="420">
        <f t="shared" si="15"/>
        <v>12.97686</v>
      </c>
      <c r="J41"/>
      <c r="K41" s="346">
        <v>45</v>
      </c>
      <c r="L41" s="346">
        <v>53.5</v>
      </c>
      <c r="M41" s="773">
        <f t="shared" si="30"/>
        <v>0.18888888888888888</v>
      </c>
      <c r="N41" s="367">
        <f t="shared" si="19"/>
        <v>36</v>
      </c>
      <c r="O41" s="74"/>
      <c r="P41" s="772">
        <f t="shared" si="20"/>
        <v>42.800000000000004</v>
      </c>
      <c r="Q41" s="521">
        <f t="shared" si="21"/>
        <v>0.18888888888888899</v>
      </c>
      <c r="R41"/>
      <c r="S41" s="346">
        <v>69.5</v>
      </c>
      <c r="T41" s="346">
        <v>84</v>
      </c>
      <c r="U41" s="489">
        <f t="shared" si="22"/>
        <v>0.20863309352517986</v>
      </c>
      <c r="V41" s="367">
        <f t="shared" si="23"/>
        <v>55.6</v>
      </c>
      <c r="W41" s="74"/>
      <c r="X41" s="772">
        <f t="shared" si="24"/>
        <v>67.2</v>
      </c>
      <c r="Y41" s="521">
        <f t="shared" si="25"/>
        <v>0.20863309352517986</v>
      </c>
      <c r="Z41" s="73"/>
      <c r="AA41" s="186" t="str">
        <f t="shared" si="16"/>
        <v>.407" - .5109"</v>
      </c>
      <c r="AB41" s="187" t="str">
        <f t="shared" si="26"/>
        <v>10.336 - 12.977mm</v>
      </c>
      <c r="AC41" s="188" t="str">
        <f t="shared" si="27"/>
        <v>5W</v>
      </c>
      <c r="AD41" s="189">
        <f t="shared" si="17"/>
        <v>53.5</v>
      </c>
      <c r="AE41" s="190">
        <f t="shared" si="18"/>
        <v>84</v>
      </c>
      <c r="AF41" s="9"/>
      <c r="AG41" s="873" t="s">
        <v>1018</v>
      </c>
      <c r="AH41" s="873" t="s">
        <v>1026</v>
      </c>
      <c r="AI41" s="873" t="s">
        <v>1090</v>
      </c>
      <c r="AJ41" s="13"/>
      <c r="AK41" s="873" t="s">
        <v>1034</v>
      </c>
      <c r="AL41" s="873" t="s">
        <v>1042</v>
      </c>
      <c r="AM41" s="873" t="s">
        <v>1106</v>
      </c>
    </row>
    <row r="42" spans="1:39" s="51" customFormat="1" ht="15.75" x14ac:dyDescent="0.25">
      <c r="A42"/>
      <c r="B42" s="73" t="str">
        <f t="shared" si="28"/>
        <v>X</v>
      </c>
      <c r="C42" s="74" t="s">
        <v>481</v>
      </c>
      <c r="D42" s="74"/>
      <c r="E42" s="54">
        <v>0.51100000000000001</v>
      </c>
      <c r="F42" s="54">
        <v>0.63590000000000002</v>
      </c>
      <c r="G42" s="416"/>
      <c r="H42" s="420">
        <f t="shared" si="29"/>
        <v>12.97786</v>
      </c>
      <c r="I42" s="420">
        <f t="shared" si="15"/>
        <v>16.151859999999999</v>
      </c>
      <c r="J42"/>
      <c r="K42" s="346">
        <v>51.75</v>
      </c>
      <c r="L42" s="346">
        <v>62</v>
      </c>
      <c r="M42" s="773">
        <f t="shared" si="30"/>
        <v>0.19806763285024154</v>
      </c>
      <c r="N42" s="367">
        <f t="shared" si="19"/>
        <v>41.400000000000006</v>
      </c>
      <c r="O42" s="74"/>
      <c r="P42" s="772">
        <f t="shared" si="20"/>
        <v>49.6</v>
      </c>
      <c r="Q42" s="521">
        <f t="shared" si="21"/>
        <v>0.19806763285024143</v>
      </c>
      <c r="R42"/>
      <c r="S42" s="346">
        <v>80</v>
      </c>
      <c r="T42" s="346">
        <v>92</v>
      </c>
      <c r="U42" s="489">
        <f t="shared" si="22"/>
        <v>0.15</v>
      </c>
      <c r="V42" s="367">
        <f t="shared" si="23"/>
        <v>64</v>
      </c>
      <c r="W42" s="74"/>
      <c r="X42" s="772">
        <f t="shared" si="24"/>
        <v>73.600000000000009</v>
      </c>
      <c r="Y42" s="521">
        <f t="shared" si="25"/>
        <v>0.15000000000000013</v>
      </c>
      <c r="Z42" s="73"/>
      <c r="AA42" s="191" t="str">
        <f t="shared" si="16"/>
        <v>.511" - .6359"</v>
      </c>
      <c r="AB42" s="192" t="str">
        <f t="shared" si="26"/>
        <v>12.978 - 16.152mm</v>
      </c>
      <c r="AC42" s="193" t="str">
        <f t="shared" si="27"/>
        <v>6W</v>
      </c>
      <c r="AD42" s="196">
        <f t="shared" si="17"/>
        <v>62</v>
      </c>
      <c r="AE42" s="195">
        <f t="shared" si="18"/>
        <v>92</v>
      </c>
      <c r="AF42" s="9"/>
      <c r="AG42" s="872" t="s">
        <v>1019</v>
      </c>
      <c r="AH42" s="872" t="s">
        <v>1027</v>
      </c>
      <c r="AI42" s="872" t="s">
        <v>1091</v>
      </c>
      <c r="AJ42" s="13"/>
      <c r="AK42" s="872" t="s">
        <v>1035</v>
      </c>
      <c r="AL42" s="872" t="s">
        <v>1043</v>
      </c>
      <c r="AM42" s="872" t="s">
        <v>1107</v>
      </c>
    </row>
    <row r="43" spans="1:39" s="51" customFormat="1" ht="15.75" x14ac:dyDescent="0.25">
      <c r="A43"/>
      <c r="B43" s="73" t="str">
        <f t="shared" si="28"/>
        <v>X</v>
      </c>
      <c r="C43" s="74" t="s">
        <v>482</v>
      </c>
      <c r="D43" s="74"/>
      <c r="E43" s="54">
        <v>0.63600000000000001</v>
      </c>
      <c r="F43" s="54">
        <v>0.76090000000000002</v>
      </c>
      <c r="G43" s="416"/>
      <c r="H43" s="420">
        <f t="shared" si="29"/>
        <v>16.15286</v>
      </c>
      <c r="I43" s="420">
        <f t="shared" si="15"/>
        <v>19.32686</v>
      </c>
      <c r="J43"/>
      <c r="K43" s="346">
        <v>61</v>
      </c>
      <c r="L43" s="346">
        <v>70</v>
      </c>
      <c r="M43" s="773">
        <f t="shared" si="30"/>
        <v>0.14754098360655737</v>
      </c>
      <c r="N43" s="367">
        <f t="shared" si="19"/>
        <v>48.800000000000004</v>
      </c>
      <c r="O43" s="74"/>
      <c r="P43" s="772">
        <f t="shared" si="20"/>
        <v>56</v>
      </c>
      <c r="Q43" s="521">
        <f t="shared" si="21"/>
        <v>0.14754098360655726</v>
      </c>
      <c r="R43"/>
      <c r="S43" s="346">
        <v>94.5</v>
      </c>
      <c r="T43" s="346">
        <v>108</v>
      </c>
      <c r="U43" s="489">
        <f t="shared" si="22"/>
        <v>0.14285714285714285</v>
      </c>
      <c r="V43" s="367">
        <f t="shared" si="23"/>
        <v>75.600000000000009</v>
      </c>
      <c r="W43" s="74"/>
      <c r="X43" s="772">
        <f t="shared" si="24"/>
        <v>86.4</v>
      </c>
      <c r="Y43" s="521">
        <f t="shared" si="25"/>
        <v>0.14285714285714279</v>
      </c>
      <c r="Z43" s="73"/>
      <c r="AA43" s="186" t="str">
        <f t="shared" si="16"/>
        <v>.636" - .7609"</v>
      </c>
      <c r="AB43" s="187" t="str">
        <f t="shared" si="26"/>
        <v>16.153 - 19.327mm</v>
      </c>
      <c r="AC43" s="188" t="str">
        <f t="shared" si="27"/>
        <v>7W</v>
      </c>
      <c r="AD43" s="189">
        <f t="shared" si="17"/>
        <v>70</v>
      </c>
      <c r="AE43" s="190">
        <f t="shared" si="18"/>
        <v>108</v>
      </c>
      <c r="AF43" s="9"/>
      <c r="AG43" s="873" t="s">
        <v>1020</v>
      </c>
      <c r="AH43" s="873" t="s">
        <v>1028</v>
      </c>
      <c r="AI43" s="873" t="s">
        <v>1092</v>
      </c>
      <c r="AJ43" s="13"/>
      <c r="AK43" s="873" t="s">
        <v>1036</v>
      </c>
      <c r="AL43" s="873" t="s">
        <v>1044</v>
      </c>
      <c r="AM43" s="873" t="s">
        <v>1108</v>
      </c>
    </row>
    <row r="44" spans="1:39" s="51" customFormat="1" ht="16.5" thickBot="1" x14ac:dyDescent="0.3">
      <c r="A44"/>
      <c r="B44" s="73" t="str">
        <f t="shared" si="28"/>
        <v>X</v>
      </c>
      <c r="C44" s="74" t="s">
        <v>483</v>
      </c>
      <c r="D44" s="74"/>
      <c r="E44" s="54">
        <v>0.76100000000000001</v>
      </c>
      <c r="F44" s="457">
        <v>1.0149999999999999</v>
      </c>
      <c r="G44" s="416"/>
      <c r="H44" s="420">
        <f t="shared" si="29"/>
        <v>19.327860000000001</v>
      </c>
      <c r="I44" s="458">
        <v>25.65</v>
      </c>
      <c r="J44"/>
      <c r="K44" s="346">
        <v>73.25</v>
      </c>
      <c r="L44" s="346">
        <v>82</v>
      </c>
      <c r="M44" s="773">
        <f t="shared" si="30"/>
        <v>0.11945392491467577</v>
      </c>
      <c r="N44" s="367">
        <f t="shared" si="19"/>
        <v>58.6</v>
      </c>
      <c r="O44" s="74"/>
      <c r="P44" s="772">
        <f t="shared" si="20"/>
        <v>65.600000000000009</v>
      </c>
      <c r="Q44" s="521">
        <f t="shared" si="21"/>
        <v>0.11945392491467588</v>
      </c>
      <c r="R44"/>
      <c r="S44" s="346">
        <v>110</v>
      </c>
      <c r="T44" s="346">
        <v>124</v>
      </c>
      <c r="U44" s="489">
        <f t="shared" si="22"/>
        <v>0.12727272727272726</v>
      </c>
      <c r="V44" s="367">
        <f t="shared" si="23"/>
        <v>88</v>
      </c>
      <c r="W44" s="74"/>
      <c r="X44" s="772">
        <f t="shared" si="24"/>
        <v>99.2</v>
      </c>
      <c r="Y44" s="521">
        <f t="shared" si="25"/>
        <v>0.12727272727272732</v>
      </c>
      <c r="Z44" s="73"/>
      <c r="AA44" s="197" t="str">
        <f t="shared" si="16"/>
        <v>.761" - 1.015"</v>
      </c>
      <c r="AB44" s="198" t="str">
        <f t="shared" si="26"/>
        <v>19.328 - 25.650mm</v>
      </c>
      <c r="AC44" s="199" t="str">
        <f t="shared" si="27"/>
        <v>8W</v>
      </c>
      <c r="AD44" s="200">
        <f t="shared" si="17"/>
        <v>82</v>
      </c>
      <c r="AE44" s="201">
        <f t="shared" si="18"/>
        <v>124</v>
      </c>
      <c r="AF44" s="9"/>
      <c r="AG44" s="874" t="s">
        <v>1021</v>
      </c>
      <c r="AH44" s="874" t="s">
        <v>1029</v>
      </c>
      <c r="AI44" s="874" t="s">
        <v>1093</v>
      </c>
      <c r="AJ44" s="13"/>
      <c r="AK44" s="874" t="s">
        <v>1037</v>
      </c>
      <c r="AL44" s="874" t="s">
        <v>1045</v>
      </c>
      <c r="AM44" s="874" t="s">
        <v>1109</v>
      </c>
    </row>
    <row r="45" spans="1:39" customFormat="1" x14ac:dyDescent="0.25"/>
    <row r="46" spans="1:39" s="51" customFormat="1" ht="15.75" x14ac:dyDescent="0.25">
      <c r="A46"/>
      <c r="B46" s="73"/>
      <c r="C46" s="74"/>
      <c r="D46" s="74"/>
      <c r="E46" s="417"/>
      <c r="F46" s="417"/>
      <c r="G46" s="416"/>
      <c r="H46" s="418"/>
      <c r="I46" s="418"/>
      <c r="J46"/>
      <c r="K46" s="35"/>
      <c r="L46" s="35"/>
      <c r="M46"/>
      <c r="N46"/>
      <c r="O46"/>
      <c r="P46"/>
      <c r="Q46"/>
      <c r="R46"/>
      <c r="S46" s="35"/>
      <c r="T46" s="35"/>
      <c r="U46"/>
      <c r="V46"/>
      <c r="W46" s="74"/>
      <c r="X46"/>
      <c r="Y46"/>
      <c r="Z46" s="73"/>
      <c r="AA46" s="73"/>
      <c r="AB46" s="73"/>
      <c r="AC46" s="73"/>
      <c r="AD46" s="80"/>
      <c r="AF46" s="9"/>
      <c r="AG46"/>
      <c r="AH46" s="861"/>
      <c r="AI46" s="861"/>
      <c r="AJ46"/>
      <c r="AK46" s="861"/>
      <c r="AL46" s="861"/>
      <c r="AM46" s="861"/>
    </row>
    <row r="47" spans="1:39" s="51" customFormat="1" ht="6" customHeight="1" thickBot="1" x14ac:dyDescent="0.3">
      <c r="A47"/>
      <c r="B47" s="73"/>
      <c r="C47" s="74"/>
      <c r="D47" s="74"/>
      <c r="E47" s="419"/>
      <c r="F47" s="419"/>
      <c r="G47" s="416"/>
      <c r="H47" s="416"/>
      <c r="I47" s="416"/>
      <c r="J47"/>
      <c r="K47"/>
      <c r="L47"/>
      <c r="M47"/>
      <c r="N47"/>
      <c r="O47"/>
      <c r="P47"/>
      <c r="Q47"/>
      <c r="R47"/>
      <c r="S47" s="35"/>
      <c r="T47" s="35"/>
      <c r="U47"/>
      <c r="V47"/>
      <c r="W47" s="74"/>
      <c r="X47"/>
      <c r="Y47"/>
      <c r="Z47" s="73"/>
      <c r="AA47" s="73"/>
      <c r="AB47" s="73"/>
      <c r="AC47" s="73"/>
      <c r="AD47" s="77"/>
      <c r="AF47" s="9"/>
      <c r="AG47"/>
      <c r="AH47" s="861"/>
      <c r="AI47" s="861"/>
      <c r="AJ47"/>
      <c r="AK47" s="861"/>
      <c r="AL47" s="861"/>
      <c r="AM47" s="861"/>
    </row>
    <row r="48" spans="1:39" s="51" customFormat="1" ht="15.75" x14ac:dyDescent="0.25">
      <c r="A48"/>
      <c r="B48" s="73" t="s">
        <v>198</v>
      </c>
      <c r="C48" s="74"/>
      <c r="D48" s="74"/>
      <c r="E48" s="419"/>
      <c r="F48" s="419"/>
      <c r="G48" s="416"/>
      <c r="H48" s="422">
        <v>2.0000000000000002E-5</v>
      </c>
      <c r="I48" s="422">
        <v>5.0000000000000001E-4</v>
      </c>
      <c r="J48"/>
      <c r="K48"/>
      <c r="L48"/>
      <c r="M48"/>
      <c r="N48"/>
      <c r="O48"/>
      <c r="P48"/>
      <c r="Q48"/>
      <c r="R48"/>
      <c r="S48"/>
      <c r="T48"/>
      <c r="U48"/>
      <c r="V48"/>
      <c r="W48" s="74"/>
      <c r="X48"/>
      <c r="Y48"/>
      <c r="Z48" s="73"/>
      <c r="AA48" s="870" t="str">
        <f>_xlfn.CONCAT("Class ",$B48,"  (",TEXT($H48,".0000#"),""""," or ",TEXT($I48,".000#"),"mm)")</f>
        <v>Class XX  (.00002" or .0005mm)</v>
      </c>
      <c r="AB48" s="597"/>
      <c r="AC48" s="597"/>
      <c r="AD48" s="597"/>
      <c r="AE48" s="598"/>
      <c r="AF48" s="9"/>
      <c r="AG48" s="599" t="str">
        <f>_xlfn.CONCAT("Class ",$B48)</f>
        <v>Class XX</v>
      </c>
      <c r="AH48" s="597"/>
      <c r="AI48" s="597"/>
      <c r="AJ48" s="597"/>
      <c r="AK48" s="597"/>
      <c r="AL48" s="597"/>
      <c r="AM48" s="597"/>
    </row>
    <row r="49" spans="1:39" s="51" customFormat="1" ht="18" x14ac:dyDescent="0.4">
      <c r="A49"/>
      <c r="B49" s="73"/>
      <c r="C49" s="74"/>
      <c r="D49" s="74"/>
      <c r="E49" s="419"/>
      <c r="F49" s="419"/>
      <c r="G49" s="416"/>
      <c r="H49" s="416"/>
      <c r="I49" s="416"/>
      <c r="J49"/>
      <c r="K49" s="16" t="s">
        <v>185</v>
      </c>
      <c r="L49" s="16"/>
      <c r="M49" s="16"/>
      <c r="O49" s="374"/>
      <c r="P49" s="374"/>
      <c r="Q49" s="374"/>
      <c r="R49"/>
      <c r="S49" s="16" t="s">
        <v>199</v>
      </c>
      <c r="T49" s="16"/>
      <c r="U49" s="16"/>
      <c r="W49" s="74"/>
      <c r="X49"/>
      <c r="Y49"/>
      <c r="Z49" s="73"/>
      <c r="AA49" s="446" t="s">
        <v>3</v>
      </c>
      <c r="AB49" s="184"/>
      <c r="AC49" s="1287" t="s">
        <v>397</v>
      </c>
      <c r="AD49" s="445" t="s">
        <v>568</v>
      </c>
      <c r="AE49" s="185"/>
      <c r="AF49" s="9"/>
      <c r="AG49" s="867" t="s">
        <v>4</v>
      </c>
      <c r="AH49" s="866"/>
      <c r="AI49" s="866"/>
      <c r="AJ49"/>
      <c r="AK49" s="867" t="s">
        <v>5</v>
      </c>
      <c r="AL49" s="866"/>
      <c r="AM49" s="866"/>
    </row>
    <row r="50" spans="1:39" s="51" customFormat="1" ht="15.75" x14ac:dyDescent="0.25">
      <c r="A50"/>
      <c r="B50" s="73"/>
      <c r="C50" s="74"/>
      <c r="D50" s="74"/>
      <c r="E50" s="79" t="s">
        <v>574</v>
      </c>
      <c r="F50" s="79" t="s">
        <v>575</v>
      </c>
      <c r="G50" s="411"/>
      <c r="H50" s="79" t="s">
        <v>574</v>
      </c>
      <c r="I50" s="79" t="s">
        <v>575</v>
      </c>
      <c r="J50"/>
      <c r="K50" s="264" t="s">
        <v>622</v>
      </c>
      <c r="L50" s="264" t="s">
        <v>623</v>
      </c>
      <c r="M50" s="566" t="s">
        <v>626</v>
      </c>
      <c r="N50" s="365">
        <v>0.2</v>
      </c>
      <c r="O50" s="11"/>
      <c r="P50" s="365">
        <v>0.2</v>
      </c>
      <c r="Q50" s="566" t="s">
        <v>626</v>
      </c>
      <c r="R50"/>
      <c r="S50" s="264" t="s">
        <v>622</v>
      </c>
      <c r="T50" s="264" t="s">
        <v>623</v>
      </c>
      <c r="U50" s="566" t="s">
        <v>626</v>
      </c>
      <c r="V50" s="365">
        <v>0.2</v>
      </c>
      <c r="W50" s="74"/>
      <c r="X50" s="365">
        <v>0.2</v>
      </c>
      <c r="Y50" s="566" t="s">
        <v>626</v>
      </c>
      <c r="Z50" s="73"/>
      <c r="AA50" s="447" t="s">
        <v>4</v>
      </c>
      <c r="AB50" s="434" t="s">
        <v>5</v>
      </c>
      <c r="AC50" s="1288"/>
      <c r="AD50" s="864" t="s">
        <v>185</v>
      </c>
      <c r="AE50" s="865" t="s">
        <v>199</v>
      </c>
      <c r="AF50" s="9"/>
      <c r="AG50" s="468" t="s">
        <v>597</v>
      </c>
      <c r="AH50" s="862" t="s">
        <v>596</v>
      </c>
      <c r="AI50" s="863" t="s">
        <v>601</v>
      </c>
      <c r="AJ50"/>
      <c r="AK50" s="869" t="s">
        <v>597</v>
      </c>
      <c r="AL50" s="862" t="s">
        <v>596</v>
      </c>
      <c r="AM50" s="863" t="s">
        <v>601</v>
      </c>
    </row>
    <row r="51" spans="1:39" s="51" customFormat="1" ht="15.75" x14ac:dyDescent="0.25">
      <c r="A51"/>
      <c r="B51" s="77" t="s">
        <v>198</v>
      </c>
      <c r="C51" s="74" t="s">
        <v>476</v>
      </c>
      <c r="D51" s="77"/>
      <c r="E51" s="66">
        <f>E$37</f>
        <v>5.0000000000000001E-3</v>
      </c>
      <c r="F51" s="66">
        <f>F$37</f>
        <v>7.5899999999999995E-2</v>
      </c>
      <c r="G51" s="415"/>
      <c r="H51" s="420">
        <f>H$37</f>
        <v>0.22</v>
      </c>
      <c r="I51" s="420">
        <f>I$37</f>
        <v>1.9278599999999997</v>
      </c>
      <c r="J51"/>
      <c r="K51" s="346">
        <v>63</v>
      </c>
      <c r="L51" s="346">
        <v>84</v>
      </c>
      <c r="M51" s="489">
        <f>IFERROR(((L51-K51)/K51),0)</f>
        <v>0.33333333333333331</v>
      </c>
      <c r="N51" s="367">
        <f>IFERROR(((1-N$50)*K51),0)</f>
        <v>50.400000000000006</v>
      </c>
      <c r="O51" s="77"/>
      <c r="P51" s="772">
        <f>PRODUCT((1-$P$50),L51)</f>
        <v>67.2</v>
      </c>
      <c r="Q51" s="521">
        <f>((P51-N51)/N51)</f>
        <v>0.33333333333333326</v>
      </c>
      <c r="R51"/>
      <c r="S51" s="346">
        <v>115</v>
      </c>
      <c r="T51" s="346">
        <v>180</v>
      </c>
      <c r="U51" s="489">
        <f>IFERROR(((T51-S51)/S51),0)</f>
        <v>0.56521739130434778</v>
      </c>
      <c r="V51" s="367">
        <f>IFERROR(((1-V$50)*S51),0)</f>
        <v>92</v>
      </c>
      <c r="W51" s="77"/>
      <c r="X51" s="772">
        <f>PRODUCT((1-$X$50),T51)</f>
        <v>144</v>
      </c>
      <c r="Y51" s="521">
        <f>((X51-V51)/V51)</f>
        <v>0.56521739130434778</v>
      </c>
      <c r="Z51" s="73"/>
      <c r="AA51" s="186" t="str">
        <f t="shared" ref="AA51:AA58" si="31">_xlfn.CONCAT(TEXT($E51,"#.000#"),""""," - ",TEXT($F51,"#.000#"),"""")</f>
        <v>.005" - .0759"</v>
      </c>
      <c r="AB51" s="187" t="str">
        <f t="shared" ref="AB51:AB58" si="32">_xlfn.CONCAT(TEXT($H51,"#.000")," - ",TEXT($I51,"0.000"),"mm")</f>
        <v>.220 - 1.928mm</v>
      </c>
      <c r="AC51" s="188" t="str">
        <f>$C51</f>
        <v>1W</v>
      </c>
      <c r="AD51" s="189">
        <f t="shared" ref="AD51:AD58" si="33">L51</f>
        <v>84</v>
      </c>
      <c r="AE51" s="190">
        <f>T51</f>
        <v>180</v>
      </c>
      <c r="AF51" s="9"/>
      <c r="AG51" s="871" t="s">
        <v>1046</v>
      </c>
      <c r="AH51" s="871" t="s">
        <v>1054</v>
      </c>
      <c r="AI51" s="871" t="s">
        <v>1094</v>
      </c>
      <c r="AJ51" s="13"/>
      <c r="AK51" s="871" t="s">
        <v>1062</v>
      </c>
      <c r="AL51" s="871" t="s">
        <v>1070</v>
      </c>
      <c r="AM51" s="871" t="s">
        <v>1110</v>
      </c>
    </row>
    <row r="52" spans="1:39" s="51" customFormat="1" ht="15.75" x14ac:dyDescent="0.25">
      <c r="A52"/>
      <c r="B52" s="73" t="str">
        <f>B51</f>
        <v>XX</v>
      </c>
      <c r="C52" s="74" t="s">
        <v>477</v>
      </c>
      <c r="D52" s="74"/>
      <c r="E52" s="66">
        <f>E$38</f>
        <v>7.5999999999999998E-2</v>
      </c>
      <c r="F52" s="66">
        <f>F$38</f>
        <v>0.18090000000000001</v>
      </c>
      <c r="G52" s="416"/>
      <c r="H52" s="420">
        <f>H$38</f>
        <v>1.9288599999999996</v>
      </c>
      <c r="I52" s="420">
        <f>I$38</f>
        <v>4.5948599999999997</v>
      </c>
      <c r="J52"/>
      <c r="K52" s="346">
        <v>65.5</v>
      </c>
      <c r="L52" s="346">
        <v>70</v>
      </c>
      <c r="M52" s="489">
        <f t="shared" ref="M52:M58" si="34">IFERROR(((L52-K52)/K52),0)</f>
        <v>6.8702290076335881E-2</v>
      </c>
      <c r="N52" s="367">
        <f t="shared" ref="N52:N58" si="35">IFERROR(((1-N$50)*K52),0)</f>
        <v>52.400000000000006</v>
      </c>
      <c r="O52" s="74"/>
      <c r="P52" s="772">
        <f t="shared" ref="P52:P58" si="36">PRODUCT((1-$P$50),L52)</f>
        <v>56</v>
      </c>
      <c r="Q52" s="521">
        <f t="shared" ref="Q52:Q58" si="37">((P52-N52)/N52)</f>
        <v>6.8702290076335756E-2</v>
      </c>
      <c r="R52"/>
      <c r="S52" s="346">
        <v>120.5</v>
      </c>
      <c r="T52" s="346">
        <v>152</v>
      </c>
      <c r="U52" s="489">
        <f t="shared" ref="U52:U58" si="38">IFERROR(((T52-S52)/S52),0)</f>
        <v>0.26141078838174275</v>
      </c>
      <c r="V52" s="367">
        <f t="shared" ref="V52:V58" si="39">IFERROR(((1-V$50)*S52),0)</f>
        <v>96.4</v>
      </c>
      <c r="W52" s="74"/>
      <c r="X52" s="772">
        <f t="shared" ref="X52:X58" si="40">PRODUCT((1-$X$50),T52)</f>
        <v>121.60000000000001</v>
      </c>
      <c r="Y52" s="521">
        <f t="shared" ref="Y52:Y58" si="41">((X52-V52)/V52)</f>
        <v>0.26141078838174275</v>
      </c>
      <c r="Z52" s="73"/>
      <c r="AA52" s="191" t="str">
        <f t="shared" si="31"/>
        <v>.076" - .1809"</v>
      </c>
      <c r="AB52" s="192" t="str">
        <f t="shared" si="32"/>
        <v>1.929 - 4.595mm</v>
      </c>
      <c r="AC52" s="193" t="str">
        <f t="shared" ref="AC52:AC58" si="42">$C52</f>
        <v>2W</v>
      </c>
      <c r="AD52" s="194">
        <f t="shared" si="33"/>
        <v>70</v>
      </c>
      <c r="AE52" s="195">
        <f t="shared" ref="AE52:AE58" si="43">T52</f>
        <v>152</v>
      </c>
      <c r="AF52" s="9"/>
      <c r="AG52" s="872" t="s">
        <v>1047</v>
      </c>
      <c r="AH52" s="872" t="s">
        <v>1055</v>
      </c>
      <c r="AI52" s="872" t="s">
        <v>1095</v>
      </c>
      <c r="AJ52" s="13"/>
      <c r="AK52" s="872" t="s">
        <v>1063</v>
      </c>
      <c r="AL52" s="872" t="s">
        <v>1071</v>
      </c>
      <c r="AM52" s="872" t="s">
        <v>1111</v>
      </c>
    </row>
    <row r="53" spans="1:39" s="51" customFormat="1" ht="15.75" x14ac:dyDescent="0.25">
      <c r="A53"/>
      <c r="B53" s="73" t="str">
        <f t="shared" ref="B53:B58" si="44">B52</f>
        <v>XX</v>
      </c>
      <c r="C53" s="74" t="s">
        <v>478</v>
      </c>
      <c r="D53" s="74"/>
      <c r="E53" s="66">
        <f>E$39</f>
        <v>0.18099999999999999</v>
      </c>
      <c r="F53" s="66">
        <f>F$39</f>
        <v>0.28189999999999998</v>
      </c>
      <c r="G53" s="416"/>
      <c r="H53" s="420">
        <f>H$39</f>
        <v>4.5958600000000001</v>
      </c>
      <c r="I53" s="420">
        <f>I$39</f>
        <v>7.1602599999999992</v>
      </c>
      <c r="J53"/>
      <c r="K53" s="346">
        <v>70.75</v>
      </c>
      <c r="L53" s="346">
        <v>72.5</v>
      </c>
      <c r="M53" s="489">
        <f t="shared" si="34"/>
        <v>2.4734982332155476E-2</v>
      </c>
      <c r="N53" s="367">
        <f t="shared" si="35"/>
        <v>56.6</v>
      </c>
      <c r="O53" s="74"/>
      <c r="P53" s="772">
        <f t="shared" si="36"/>
        <v>58</v>
      </c>
      <c r="Q53" s="521">
        <f t="shared" si="37"/>
        <v>2.4734982332155452E-2</v>
      </c>
      <c r="R53"/>
      <c r="S53" s="346">
        <v>128.25</v>
      </c>
      <c r="T53" s="346">
        <v>156</v>
      </c>
      <c r="U53" s="489">
        <f t="shared" si="38"/>
        <v>0.21637426900584794</v>
      </c>
      <c r="V53" s="367">
        <f t="shared" si="39"/>
        <v>102.60000000000001</v>
      </c>
      <c r="W53" s="74"/>
      <c r="X53" s="772">
        <f t="shared" si="40"/>
        <v>124.80000000000001</v>
      </c>
      <c r="Y53" s="521">
        <f t="shared" si="41"/>
        <v>0.21637426900584797</v>
      </c>
      <c r="Z53" s="73"/>
      <c r="AA53" s="186" t="str">
        <f t="shared" si="31"/>
        <v>.181" - .2819"</v>
      </c>
      <c r="AB53" s="187" t="str">
        <f t="shared" si="32"/>
        <v>4.596 - 7.160mm</v>
      </c>
      <c r="AC53" s="188" t="str">
        <f t="shared" si="42"/>
        <v>3W</v>
      </c>
      <c r="AD53" s="189">
        <f t="shared" si="33"/>
        <v>72.5</v>
      </c>
      <c r="AE53" s="190">
        <f t="shared" si="43"/>
        <v>156</v>
      </c>
      <c r="AF53" s="9"/>
      <c r="AG53" s="873" t="s">
        <v>1048</v>
      </c>
      <c r="AH53" s="873" t="s">
        <v>1056</v>
      </c>
      <c r="AI53" s="873" t="s">
        <v>1096</v>
      </c>
      <c r="AJ53" s="13"/>
      <c r="AK53" s="873" t="s">
        <v>1064</v>
      </c>
      <c r="AL53" s="873" t="s">
        <v>1072</v>
      </c>
      <c r="AM53" s="873" t="s">
        <v>1112</v>
      </c>
    </row>
    <row r="54" spans="1:39" s="51" customFormat="1" ht="15.75" x14ac:dyDescent="0.25">
      <c r="A54"/>
      <c r="B54" s="73" t="str">
        <f t="shared" si="44"/>
        <v>XX</v>
      </c>
      <c r="C54" s="74" t="s">
        <v>479</v>
      </c>
      <c r="D54" s="74"/>
      <c r="E54" s="66">
        <f>E$40</f>
        <v>0.28199999999999997</v>
      </c>
      <c r="F54" s="66">
        <f>F$40</f>
        <v>0.40689999999999998</v>
      </c>
      <c r="G54" s="416"/>
      <c r="H54" s="420">
        <f>H$40</f>
        <v>7.1612599999999995</v>
      </c>
      <c r="I54" s="420">
        <f>I$40</f>
        <v>10.33526</v>
      </c>
      <c r="J54"/>
      <c r="K54" s="346">
        <v>73</v>
      </c>
      <c r="L54" s="346">
        <v>75</v>
      </c>
      <c r="M54" s="489">
        <f t="shared" si="34"/>
        <v>2.7397260273972601E-2</v>
      </c>
      <c r="N54" s="367">
        <f t="shared" si="35"/>
        <v>58.400000000000006</v>
      </c>
      <c r="O54" s="74"/>
      <c r="P54" s="772">
        <f t="shared" si="36"/>
        <v>60</v>
      </c>
      <c r="Q54" s="521">
        <f t="shared" si="37"/>
        <v>2.7397260273972504E-2</v>
      </c>
      <c r="R54"/>
      <c r="S54" s="346">
        <v>131.75</v>
      </c>
      <c r="T54" s="346">
        <v>162</v>
      </c>
      <c r="U54" s="489">
        <f t="shared" si="38"/>
        <v>0.22960151802656548</v>
      </c>
      <c r="V54" s="367">
        <f t="shared" si="39"/>
        <v>105.4</v>
      </c>
      <c r="W54" s="74"/>
      <c r="X54" s="772">
        <f t="shared" si="40"/>
        <v>129.6</v>
      </c>
      <c r="Y54" s="521">
        <f t="shared" si="41"/>
        <v>0.22960151802656534</v>
      </c>
      <c r="Z54" s="73"/>
      <c r="AA54" s="191" t="str">
        <f t="shared" si="31"/>
        <v>.282" - .4069"</v>
      </c>
      <c r="AB54" s="192" t="str">
        <f t="shared" si="32"/>
        <v>7.161 - 10.335mm</v>
      </c>
      <c r="AC54" s="193" t="str">
        <f t="shared" si="42"/>
        <v>4W</v>
      </c>
      <c r="AD54" s="196">
        <f t="shared" si="33"/>
        <v>75</v>
      </c>
      <c r="AE54" s="195">
        <f t="shared" si="43"/>
        <v>162</v>
      </c>
      <c r="AF54" s="9"/>
      <c r="AG54" s="872" t="s">
        <v>1049</v>
      </c>
      <c r="AH54" s="872" t="s">
        <v>1057</v>
      </c>
      <c r="AI54" s="872" t="s">
        <v>1097</v>
      </c>
      <c r="AJ54" s="13"/>
      <c r="AK54" s="872" t="s">
        <v>1065</v>
      </c>
      <c r="AL54" s="872" t="s">
        <v>1073</v>
      </c>
      <c r="AM54" s="872" t="s">
        <v>1113</v>
      </c>
    </row>
    <row r="55" spans="1:39" s="51" customFormat="1" ht="15.75" x14ac:dyDescent="0.25">
      <c r="A55"/>
      <c r="B55" s="73" t="str">
        <f t="shared" si="44"/>
        <v>XX</v>
      </c>
      <c r="C55" s="74" t="s">
        <v>480</v>
      </c>
      <c r="D55" s="74"/>
      <c r="E55" s="66">
        <f>E$41</f>
        <v>0.40699999999999997</v>
      </c>
      <c r="F55" s="66">
        <f>F$41</f>
        <v>0.51090000000000002</v>
      </c>
      <c r="G55" s="416"/>
      <c r="H55" s="420">
        <f>H$41</f>
        <v>10.336259999999999</v>
      </c>
      <c r="I55" s="420">
        <f>I$41</f>
        <v>12.97686</v>
      </c>
      <c r="J55"/>
      <c r="K55" s="346">
        <v>78.25</v>
      </c>
      <c r="L55" s="346">
        <v>79.5</v>
      </c>
      <c r="M55" s="489">
        <f t="shared" si="34"/>
        <v>1.5974440894568689E-2</v>
      </c>
      <c r="N55" s="367">
        <f t="shared" si="35"/>
        <v>62.6</v>
      </c>
      <c r="O55" s="74"/>
      <c r="P55" s="772">
        <f t="shared" si="36"/>
        <v>63.6</v>
      </c>
      <c r="Q55" s="521">
        <f t="shared" si="37"/>
        <v>1.5974440894568689E-2</v>
      </c>
      <c r="R55"/>
      <c r="S55" s="346">
        <v>138.5</v>
      </c>
      <c r="T55" s="346">
        <v>168</v>
      </c>
      <c r="U55" s="489">
        <f t="shared" si="38"/>
        <v>0.21299638989169675</v>
      </c>
      <c r="V55" s="367">
        <f t="shared" si="39"/>
        <v>110.80000000000001</v>
      </c>
      <c r="W55" s="74"/>
      <c r="X55" s="772">
        <f t="shared" si="40"/>
        <v>134.4</v>
      </c>
      <c r="Y55" s="521">
        <f t="shared" si="41"/>
        <v>0.21299638989169667</v>
      </c>
      <c r="Z55" s="73"/>
      <c r="AA55" s="186" t="str">
        <f t="shared" si="31"/>
        <v>.407" - .5109"</v>
      </c>
      <c r="AB55" s="187" t="str">
        <f t="shared" si="32"/>
        <v>10.336 - 12.977mm</v>
      </c>
      <c r="AC55" s="188" t="str">
        <f t="shared" si="42"/>
        <v>5W</v>
      </c>
      <c r="AD55" s="189">
        <f t="shared" si="33"/>
        <v>79.5</v>
      </c>
      <c r="AE55" s="190">
        <f t="shared" si="43"/>
        <v>168</v>
      </c>
      <c r="AF55" s="9"/>
      <c r="AG55" s="873" t="s">
        <v>1050</v>
      </c>
      <c r="AH55" s="873" t="s">
        <v>1058</v>
      </c>
      <c r="AI55" s="873" t="s">
        <v>1098</v>
      </c>
      <c r="AJ55" s="13"/>
      <c r="AK55" s="873" t="s">
        <v>1066</v>
      </c>
      <c r="AL55" s="873" t="s">
        <v>1074</v>
      </c>
      <c r="AM55" s="873" t="s">
        <v>1114</v>
      </c>
    </row>
    <row r="56" spans="1:39" s="51" customFormat="1" ht="15.75" x14ac:dyDescent="0.25">
      <c r="A56"/>
      <c r="B56" s="73" t="str">
        <f t="shared" si="44"/>
        <v>XX</v>
      </c>
      <c r="C56" s="74" t="s">
        <v>481</v>
      </c>
      <c r="D56" s="74"/>
      <c r="E56" s="66">
        <f>E$42</f>
        <v>0.51100000000000001</v>
      </c>
      <c r="F56" s="66">
        <f>F$42</f>
        <v>0.63590000000000002</v>
      </c>
      <c r="G56" s="416"/>
      <c r="H56" s="420">
        <f>H$42</f>
        <v>12.97786</v>
      </c>
      <c r="I56" s="420">
        <f>I$42</f>
        <v>16.151859999999999</v>
      </c>
      <c r="J56"/>
      <c r="K56" s="346">
        <v>88.75</v>
      </c>
      <c r="L56" s="346">
        <v>90</v>
      </c>
      <c r="M56" s="489">
        <f t="shared" si="34"/>
        <v>1.4084507042253521E-2</v>
      </c>
      <c r="N56" s="367">
        <f t="shared" si="35"/>
        <v>71</v>
      </c>
      <c r="O56" s="74"/>
      <c r="P56" s="772">
        <f t="shared" si="36"/>
        <v>72</v>
      </c>
      <c r="Q56" s="521">
        <f t="shared" si="37"/>
        <v>1.4084507042253521E-2</v>
      </c>
      <c r="R56"/>
      <c r="S56" s="346">
        <v>156.25</v>
      </c>
      <c r="T56" s="346">
        <v>185</v>
      </c>
      <c r="U56" s="489">
        <f t="shared" si="38"/>
        <v>0.184</v>
      </c>
      <c r="V56" s="367">
        <f t="shared" si="39"/>
        <v>125</v>
      </c>
      <c r="W56" s="74"/>
      <c r="X56" s="772">
        <f t="shared" si="40"/>
        <v>148</v>
      </c>
      <c r="Y56" s="521">
        <f t="shared" si="41"/>
        <v>0.184</v>
      </c>
      <c r="Z56" s="73"/>
      <c r="AA56" s="191" t="str">
        <f t="shared" si="31"/>
        <v>.511" - .6359"</v>
      </c>
      <c r="AB56" s="192" t="str">
        <f t="shared" si="32"/>
        <v>12.978 - 16.152mm</v>
      </c>
      <c r="AC56" s="193" t="str">
        <f t="shared" si="42"/>
        <v>6W</v>
      </c>
      <c r="AD56" s="196">
        <f t="shared" si="33"/>
        <v>90</v>
      </c>
      <c r="AE56" s="195">
        <f t="shared" si="43"/>
        <v>185</v>
      </c>
      <c r="AF56" s="9"/>
      <c r="AG56" s="872" t="s">
        <v>1051</v>
      </c>
      <c r="AH56" s="872" t="s">
        <v>1059</v>
      </c>
      <c r="AI56" s="872" t="s">
        <v>1099</v>
      </c>
      <c r="AJ56" s="13"/>
      <c r="AK56" s="872" t="s">
        <v>1067</v>
      </c>
      <c r="AL56" s="872" t="s">
        <v>1075</v>
      </c>
      <c r="AM56" s="872" t="s">
        <v>1115</v>
      </c>
    </row>
    <row r="57" spans="1:39" s="51" customFormat="1" ht="15.75" x14ac:dyDescent="0.25">
      <c r="A57"/>
      <c r="B57" s="73" t="str">
        <f t="shared" si="44"/>
        <v>XX</v>
      </c>
      <c r="C57" s="74" t="s">
        <v>482</v>
      </c>
      <c r="D57" s="74"/>
      <c r="E57" s="66">
        <f>E$43</f>
        <v>0.63600000000000001</v>
      </c>
      <c r="F57" s="66">
        <f>F$43</f>
        <v>0.76090000000000002</v>
      </c>
      <c r="G57" s="416"/>
      <c r="H57" s="420">
        <f>H$43</f>
        <v>16.15286</v>
      </c>
      <c r="I57" s="420">
        <f>I$43</f>
        <v>19.32686</v>
      </c>
      <c r="J57"/>
      <c r="K57" s="346">
        <v>94.5</v>
      </c>
      <c r="L57" s="346">
        <v>96</v>
      </c>
      <c r="M57" s="489">
        <f t="shared" si="34"/>
        <v>1.5873015873015872E-2</v>
      </c>
      <c r="N57" s="367">
        <f t="shared" si="35"/>
        <v>75.600000000000009</v>
      </c>
      <c r="O57" s="74"/>
      <c r="P57" s="772">
        <f t="shared" si="36"/>
        <v>76.800000000000011</v>
      </c>
      <c r="Q57" s="521">
        <f t="shared" si="37"/>
        <v>1.587301587301591E-2</v>
      </c>
      <c r="R57"/>
      <c r="S57" s="346">
        <v>164.75</v>
      </c>
      <c r="T57" s="346">
        <v>194</v>
      </c>
      <c r="U57" s="489">
        <f t="shared" si="38"/>
        <v>0.17754172989377845</v>
      </c>
      <c r="V57" s="367">
        <f t="shared" si="39"/>
        <v>131.80000000000001</v>
      </c>
      <c r="W57" s="74"/>
      <c r="X57" s="772">
        <f t="shared" si="40"/>
        <v>155.20000000000002</v>
      </c>
      <c r="Y57" s="521">
        <f t="shared" si="41"/>
        <v>0.17754172989377848</v>
      </c>
      <c r="Z57" s="73"/>
      <c r="AA57" s="186" t="str">
        <f t="shared" si="31"/>
        <v>.636" - .7609"</v>
      </c>
      <c r="AB57" s="187" t="str">
        <f t="shared" si="32"/>
        <v>16.153 - 19.327mm</v>
      </c>
      <c r="AC57" s="188" t="str">
        <f t="shared" si="42"/>
        <v>7W</v>
      </c>
      <c r="AD57" s="189">
        <f t="shared" si="33"/>
        <v>96</v>
      </c>
      <c r="AE57" s="190">
        <f t="shared" si="43"/>
        <v>194</v>
      </c>
      <c r="AF57" s="9"/>
      <c r="AG57" s="873" t="s">
        <v>1052</v>
      </c>
      <c r="AH57" s="873" t="s">
        <v>1060</v>
      </c>
      <c r="AI57" s="873" t="s">
        <v>1100</v>
      </c>
      <c r="AJ57" s="13"/>
      <c r="AK57" s="873" t="s">
        <v>1068</v>
      </c>
      <c r="AL57" s="873" t="s">
        <v>1076</v>
      </c>
      <c r="AM57" s="873" t="s">
        <v>1116</v>
      </c>
    </row>
    <row r="58" spans="1:39" s="51" customFormat="1" ht="16.5" thickBot="1" x14ac:dyDescent="0.3">
      <c r="A58"/>
      <c r="B58" s="73" t="str">
        <f t="shared" si="44"/>
        <v>XX</v>
      </c>
      <c r="C58" s="74" t="s">
        <v>483</v>
      </c>
      <c r="D58" s="74"/>
      <c r="E58" s="66">
        <f>E$44</f>
        <v>0.76100000000000001</v>
      </c>
      <c r="F58" s="66">
        <f>F$44</f>
        <v>1.0149999999999999</v>
      </c>
      <c r="G58" s="416"/>
      <c r="H58" s="420">
        <f>H$44</f>
        <v>19.327860000000001</v>
      </c>
      <c r="I58" s="420">
        <f>I$44</f>
        <v>25.65</v>
      </c>
      <c r="J58"/>
      <c r="K58" s="346">
        <v>136.5</v>
      </c>
      <c r="L58" s="346">
        <v>116</v>
      </c>
      <c r="M58" s="489">
        <f t="shared" si="34"/>
        <v>-0.15018315018315018</v>
      </c>
      <c r="N58" s="367">
        <f t="shared" si="35"/>
        <v>109.2</v>
      </c>
      <c r="O58" s="74"/>
      <c r="P58" s="772">
        <f t="shared" si="36"/>
        <v>92.800000000000011</v>
      </c>
      <c r="Q58" s="521">
        <f t="shared" si="37"/>
        <v>-0.15018315018315009</v>
      </c>
      <c r="R58"/>
      <c r="S58" s="346">
        <v>240.25</v>
      </c>
      <c r="T58" s="346">
        <v>218</v>
      </c>
      <c r="U58" s="489">
        <f t="shared" si="38"/>
        <v>-9.261186264308012E-2</v>
      </c>
      <c r="V58" s="367">
        <f t="shared" si="39"/>
        <v>192.20000000000002</v>
      </c>
      <c r="W58" s="74"/>
      <c r="X58" s="772">
        <f t="shared" si="40"/>
        <v>174.4</v>
      </c>
      <c r="Y58" s="521">
        <f t="shared" si="41"/>
        <v>-9.2611862643080176E-2</v>
      </c>
      <c r="Z58" s="73"/>
      <c r="AA58" s="197" t="str">
        <f t="shared" si="31"/>
        <v>.761" - 1.015"</v>
      </c>
      <c r="AB58" s="198" t="str">
        <f t="shared" si="32"/>
        <v>19.328 - 25.650mm</v>
      </c>
      <c r="AC58" s="199" t="str">
        <f t="shared" si="42"/>
        <v>8W</v>
      </c>
      <c r="AD58" s="200">
        <f t="shared" si="33"/>
        <v>116</v>
      </c>
      <c r="AE58" s="201">
        <f t="shared" si="43"/>
        <v>218</v>
      </c>
      <c r="AF58" s="9"/>
      <c r="AG58" s="874" t="s">
        <v>1053</v>
      </c>
      <c r="AH58" s="874" t="s">
        <v>1061</v>
      </c>
      <c r="AI58" s="874" t="s">
        <v>1101</v>
      </c>
      <c r="AJ58" s="13"/>
      <c r="AK58" s="874" t="s">
        <v>1069</v>
      </c>
      <c r="AL58" s="874" t="s">
        <v>1077</v>
      </c>
      <c r="AM58" s="874" t="s">
        <v>1117</v>
      </c>
    </row>
    <row r="59" spans="1:39" s="51" customFormat="1" x14ac:dyDescent="0.25">
      <c r="A59"/>
      <c r="B59" s="73"/>
      <c r="C59" s="74"/>
      <c r="D59" s="74"/>
      <c r="E59" s="419"/>
      <c r="F59" s="419"/>
      <c r="G59" s="416"/>
      <c r="H59" s="420"/>
      <c r="I59" s="420"/>
      <c r="J59"/>
      <c r="K59" s="35"/>
      <c r="L59" s="35"/>
      <c r="M59"/>
      <c r="N59"/>
      <c r="O59"/>
      <c r="P59"/>
      <c r="Q59"/>
      <c r="R59"/>
      <c r="S59" s="35"/>
      <c r="T59" s="35"/>
      <c r="U59"/>
      <c r="V59"/>
      <c r="W59" s="74"/>
      <c r="X59"/>
      <c r="Y59"/>
      <c r="Z59" s="73"/>
      <c r="AA59" s="73"/>
      <c r="AB59" s="73"/>
      <c r="AC59" s="73"/>
      <c r="AD59" s="73"/>
      <c r="AE59" s="80"/>
      <c r="AF59"/>
      <c r="AG59"/>
      <c r="AJ59"/>
    </row>
    <row r="60" spans="1:39" x14ac:dyDescent="0.25">
      <c r="E60" s="421"/>
      <c r="F60" s="421"/>
      <c r="G60" s="416"/>
      <c r="H60" s="421"/>
      <c r="I60" s="421"/>
      <c r="X60"/>
      <c r="Y60"/>
      <c r="AA60" s="404" t="s">
        <v>742</v>
      </c>
    </row>
    <row r="61" spans="1:39" ht="10.5" customHeight="1" x14ac:dyDescent="0.25">
      <c r="X61"/>
      <c r="Y61"/>
      <c r="AA61" s="404"/>
    </row>
    <row r="62" spans="1:39" x14ac:dyDescent="0.25">
      <c r="A62" s="46"/>
      <c r="X62"/>
      <c r="Y62"/>
      <c r="AA62" s="73" t="s">
        <v>958</v>
      </c>
    </row>
  </sheetData>
  <sheetProtection algorithmName="SHA-512" hashValue="ga3DnGKdWQVsgGzE+xaG+ArSgpnp5X2m8UzXB4Bzv/x48kNViuYBW+pbaR++2ITQtUEwu1St+yCGGjofoNVMAA==" saltValue="3Ek8KEj1EacKq3XwodBQ2w==" spinCount="100000" sheet="1" objects="1" scenarios="1"/>
  <mergeCells count="3">
    <mergeCell ref="AC20:AC21"/>
    <mergeCell ref="AC35:AC36"/>
    <mergeCell ref="AC49:AC50"/>
  </mergeCells>
  <conditionalFormatting sqref="AA14:AA16">
    <cfRule type="expression" dxfId="20" priority="1">
      <formula>#REF!="y"</formula>
    </cfRule>
  </conditionalFormatting>
  <pageMargins left="0.02" right="0.02" top="0.7" bottom="0.75" header="0.3" footer="0.3"/>
  <pageSetup scale="81" fitToHeight="0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A042E-0BED-4AC4-968A-574149D156DB}">
  <sheetPr codeName="Sheet16">
    <outlinePr summaryBelow="0"/>
    <pageSetUpPr fitToPage="1"/>
  </sheetPr>
  <dimension ref="B1:Z87"/>
  <sheetViews>
    <sheetView showGridLines="0" zoomScale="90" zoomScaleNormal="90" workbookViewId="0">
      <selection activeCell="K106" sqref="K106"/>
    </sheetView>
  </sheetViews>
  <sheetFormatPr defaultRowHeight="15" outlineLevelRow="1" outlineLevelCol="1" x14ac:dyDescent="0.25"/>
  <cols>
    <col min="1" max="1" width="2.7109375" customWidth="1"/>
    <col min="2" max="2" width="11.5703125" hidden="1" customWidth="1" outlineLevel="1"/>
    <col min="3" max="3" width="10" hidden="1" customWidth="1" outlineLevel="1"/>
    <col min="4" max="4" width="2.7109375" hidden="1" customWidth="1" outlineLevel="1"/>
    <col min="5" max="6" width="10.85546875" hidden="1" customWidth="1" outlineLevel="1"/>
    <col min="7" max="7" width="2.7109375" hidden="1" customWidth="1" outlineLevel="1"/>
    <col min="8" max="8" width="11.28515625" hidden="1" customWidth="1" outlineLevel="1"/>
    <col min="9" max="9" width="11.28515625" style="11" hidden="1" customWidth="1" outlineLevel="1"/>
    <col min="10" max="10" width="2.5703125" hidden="1" customWidth="1" outlineLevel="1"/>
    <col min="11" max="11" width="28.28515625" customWidth="1" collapsed="1"/>
    <col min="12" max="17" width="15.140625" customWidth="1"/>
    <col min="18" max="18" width="2.7109375" customWidth="1"/>
    <col min="19" max="24" width="11.85546875" hidden="1" customWidth="1" outlineLevel="1"/>
    <col min="25" max="25" width="0" hidden="1" customWidth="1" outlineLevel="1"/>
    <col min="26" max="26" width="9.140625" collapsed="1"/>
  </cols>
  <sheetData>
    <row r="1" spans="2:11" ht="9.9499999999999993" customHeight="1" x14ac:dyDescent="0.25"/>
    <row r="2" spans="2:11" ht="21" x14ac:dyDescent="0.35">
      <c r="K2" s="1" t="s">
        <v>632</v>
      </c>
    </row>
    <row r="3" spans="2:11" ht="15.75" collapsed="1" x14ac:dyDescent="0.25">
      <c r="K3" s="9" t="s">
        <v>744</v>
      </c>
    </row>
    <row r="4" spans="2:11" hidden="1" outlineLevel="1" x14ac:dyDescent="0.25">
      <c r="B4" s="574" t="s">
        <v>859</v>
      </c>
      <c r="C4" s="574" t="s">
        <v>860</v>
      </c>
    </row>
    <row r="5" spans="2:11" hidden="1" outlineLevel="1" x14ac:dyDescent="0.25">
      <c r="B5" s="2">
        <v>190</v>
      </c>
      <c r="C5" s="2" t="s">
        <v>804</v>
      </c>
    </row>
    <row r="6" spans="2:11" hidden="1" outlineLevel="1" x14ac:dyDescent="0.25"/>
    <row r="7" spans="2:11" hidden="1" outlineLevel="1" x14ac:dyDescent="0.25"/>
    <row r="9" spans="2:11" x14ac:dyDescent="0.25">
      <c r="B9" s="396" t="s">
        <v>635</v>
      </c>
      <c r="C9" s="400" t="s">
        <v>643</v>
      </c>
      <c r="J9" s="393"/>
      <c r="K9" s="396" t="str">
        <f>_xlfn.CONCAT($B$9,"  ",C9)</f>
        <v>•  Class ZZ (.0002" or .005mm tolerance)</v>
      </c>
    </row>
    <row r="10" spans="2:11" x14ac:dyDescent="0.25">
      <c r="C10" s="400" t="s">
        <v>664</v>
      </c>
      <c r="K10" s="396" t="str">
        <f>_xlfn.CONCAT($B$9,"  ",C10)</f>
        <v>•  Go (Plus), NoGo (Minus), or Master (Bilateral) tolerance</v>
      </c>
    </row>
    <row r="11" spans="2:11" collapsed="1" x14ac:dyDescent="0.25">
      <c r="C11" s="400" t="s">
        <v>649</v>
      </c>
      <c r="E11" s="34"/>
      <c r="K11" s="396" t="str">
        <f>_xlfn.CONCAT($B$9,"  ",C11)</f>
        <v>•  Go/NoGo assemblies quoted upon request</v>
      </c>
    </row>
    <row r="12" spans="2:11" hidden="1" outlineLevel="1" x14ac:dyDescent="0.25">
      <c r="E12" s="34"/>
      <c r="K12" s="34"/>
    </row>
    <row r="13" spans="2:11" hidden="1" outlineLevel="1" x14ac:dyDescent="0.25">
      <c r="B13" s="540" t="s">
        <v>739</v>
      </c>
      <c r="C13" s="83"/>
      <c r="D13" s="398"/>
      <c r="E13" s="83"/>
      <c r="K13" s="34"/>
    </row>
    <row r="14" spans="2:11" hidden="1" outlineLevel="1" x14ac:dyDescent="0.25">
      <c r="B14" s="540"/>
      <c r="C14" s="83"/>
      <c r="D14" s="398"/>
      <c r="E14" s="83"/>
      <c r="K14" s="34"/>
    </row>
    <row r="15" spans="2:11" hidden="1" outlineLevel="1" x14ac:dyDescent="0.25">
      <c r="E15" s="462">
        <v>25.4</v>
      </c>
      <c r="K15" s="34"/>
    </row>
    <row r="16" spans="2:11" ht="15.75" hidden="1" outlineLevel="1" x14ac:dyDescent="0.25">
      <c r="C16" s="542">
        <v>1E-4</v>
      </c>
      <c r="D16" s="542"/>
      <c r="E16" s="542">
        <v>1E-3</v>
      </c>
      <c r="K16" s="9"/>
    </row>
    <row r="17" spans="2:17" ht="16.5" thickBot="1" x14ac:dyDescent="0.3">
      <c r="C17" s="542"/>
      <c r="D17" s="542"/>
      <c r="E17" s="542"/>
      <c r="K17" s="9"/>
    </row>
    <row r="18" spans="2:17" x14ac:dyDescent="0.25">
      <c r="B18" s="21" t="s">
        <v>624</v>
      </c>
      <c r="C18" s="3"/>
      <c r="E18" s="21" t="s">
        <v>636</v>
      </c>
      <c r="F18" s="5"/>
      <c r="I18" s="746"/>
      <c r="K18" s="592" t="s">
        <v>869</v>
      </c>
      <c r="L18" s="597"/>
      <c r="M18" s="597"/>
      <c r="N18" s="597"/>
      <c r="O18" s="597"/>
      <c r="P18" s="597"/>
      <c r="Q18" s="598"/>
    </row>
    <row r="19" spans="2:17" x14ac:dyDescent="0.25">
      <c r="B19" s="20" t="s">
        <v>6</v>
      </c>
      <c r="C19" s="19"/>
      <c r="E19" s="20" t="s">
        <v>7</v>
      </c>
      <c r="F19" s="19"/>
      <c r="I19" s="746"/>
      <c r="K19" s="850" t="s">
        <v>3</v>
      </c>
      <c r="L19" s="851">
        <v>3</v>
      </c>
      <c r="M19" s="851">
        <v>4</v>
      </c>
      <c r="N19" s="851">
        <v>5</v>
      </c>
      <c r="O19" s="851">
        <v>6</v>
      </c>
      <c r="P19" s="851">
        <v>9</v>
      </c>
      <c r="Q19" s="852">
        <v>12</v>
      </c>
    </row>
    <row r="20" spans="2:17" x14ac:dyDescent="0.25">
      <c r="B20" s="554">
        <v>1.0999999999999999E-2</v>
      </c>
      <c r="C20" s="554">
        <v>3.09E-2</v>
      </c>
      <c r="E20" s="388">
        <v>0.27900000000000003</v>
      </c>
      <c r="F20" s="390">
        <f>PRODUCT(C20,$E$15)</f>
        <v>0.78486</v>
      </c>
      <c r="I20" s="18">
        <v>1</v>
      </c>
      <c r="K20" s="102" t="str">
        <f>_xlfn.CONCAT(TEXT($B20,"#.000#"),"""","  to  ",TEXT($C20,"#.000#"),"""")</f>
        <v>.011"  to  .0309"</v>
      </c>
      <c r="L20" s="531">
        <f t="shared" ref="L20:Q20" si="0">INDEX($L$44:$Q$52,MATCH($I20,$I$44:$I$52,0),MATCH(L$19,$L$42:$Q$42,0))</f>
        <v>85</v>
      </c>
      <c r="M20" s="531">
        <f t="shared" si="0"/>
        <v>100</v>
      </c>
      <c r="N20" s="531">
        <f t="shared" si="0"/>
        <v>120</v>
      </c>
      <c r="O20" s="531">
        <f t="shared" si="0"/>
        <v>140</v>
      </c>
      <c r="P20" s="531">
        <f t="shared" si="0"/>
        <v>160</v>
      </c>
      <c r="Q20" s="532">
        <f t="shared" si="0"/>
        <v>205</v>
      </c>
    </row>
    <row r="21" spans="2:17" x14ac:dyDescent="0.25">
      <c r="B21" s="5"/>
      <c r="C21" s="4"/>
      <c r="E21" s="389"/>
      <c r="F21" s="389"/>
      <c r="I21" s="18"/>
      <c r="K21" s="206" t="str">
        <f>_xlfn.CONCAT(TEXT($E20,"#.000"),"mm","  to  ",TEXT($F20,"#.000"),"mm")</f>
        <v>.279mm  to  .785mm</v>
      </c>
      <c r="L21" s="207"/>
      <c r="M21" s="207"/>
      <c r="N21" s="207"/>
      <c r="O21" s="207"/>
      <c r="P21" s="207"/>
      <c r="Q21" s="208"/>
    </row>
    <row r="22" spans="2:17" x14ac:dyDescent="0.25">
      <c r="B22" s="351">
        <f>C20+$C$16</f>
        <v>3.1E-2</v>
      </c>
      <c r="C22" s="554">
        <v>7.5899999999999995E-2</v>
      </c>
      <c r="E22" s="390">
        <f>F20+$E$16</f>
        <v>0.78586</v>
      </c>
      <c r="F22" s="390">
        <f>PRODUCT(C22,$E$15)</f>
        <v>1.9278599999999997</v>
      </c>
      <c r="I22" s="18">
        <v>2</v>
      </c>
      <c r="K22" s="111" t="str">
        <f>_xlfn.CONCAT(TEXT($B22,"#.000#"),"""","  to  ",TEXT($C22,"#.000#"),"""")</f>
        <v>.031"  to  .0759"</v>
      </c>
      <c r="L22" s="324">
        <f t="shared" ref="L22:Q22" si="1">INDEX($L$44:$Q$52,MATCH($I22,$I$44:$I$52,0),MATCH(L$19,$L$42:$Q$42,0))</f>
        <v>75</v>
      </c>
      <c r="M22" s="324">
        <f t="shared" si="1"/>
        <v>85</v>
      </c>
      <c r="N22" s="324">
        <f t="shared" si="1"/>
        <v>95</v>
      </c>
      <c r="O22" s="324">
        <f t="shared" si="1"/>
        <v>100</v>
      </c>
      <c r="P22" s="324">
        <f t="shared" si="1"/>
        <v>120</v>
      </c>
      <c r="Q22" s="113">
        <f t="shared" si="1"/>
        <v>150</v>
      </c>
    </row>
    <row r="23" spans="2:17" x14ac:dyDescent="0.25">
      <c r="B23" s="351"/>
      <c r="C23" s="351"/>
      <c r="E23" s="390"/>
      <c r="F23" s="389"/>
      <c r="I23" s="18"/>
      <c r="K23" s="211" t="str">
        <f>_xlfn.CONCAT(TEXT($E22,"#.000"),"mm","  to  ",TEXT($F22,"#.000"),"mm")</f>
        <v>.786mm  to  1.928mm</v>
      </c>
      <c r="L23" s="898"/>
      <c r="M23" s="898"/>
      <c r="N23" s="898"/>
      <c r="O23" s="898"/>
      <c r="P23" s="898"/>
      <c r="Q23" s="899"/>
    </row>
    <row r="24" spans="2:17" x14ac:dyDescent="0.25">
      <c r="B24" s="541">
        <f>C22+$C$16</f>
        <v>7.5999999999999998E-2</v>
      </c>
      <c r="C24" s="554">
        <v>0.18090000000000001</v>
      </c>
      <c r="E24" s="390">
        <f>F22+$E$16</f>
        <v>1.9288599999999996</v>
      </c>
      <c r="F24" s="390">
        <f>PRODUCT(C24,$E$15)</f>
        <v>4.5948599999999997</v>
      </c>
      <c r="I24" s="18">
        <v>3</v>
      </c>
      <c r="K24" s="102" t="str">
        <f>_xlfn.CONCAT(TEXT($B24,"#.000#"),"""","  to  ",TEXT($C24,"#.000#"),"""")</f>
        <v>.076"  to  .1809"</v>
      </c>
      <c r="L24" s="315">
        <f t="shared" ref="L24:Q24" si="2">INDEX($L$44:$Q$52,MATCH($I24,$I$44:$I$52,0),MATCH(L$19,$L$42:$Q$42,0))</f>
        <v>70</v>
      </c>
      <c r="M24" s="315">
        <f t="shared" si="2"/>
        <v>75</v>
      </c>
      <c r="N24" s="315">
        <f t="shared" si="2"/>
        <v>85</v>
      </c>
      <c r="O24" s="315">
        <f t="shared" si="2"/>
        <v>95</v>
      </c>
      <c r="P24" s="315">
        <f t="shared" si="2"/>
        <v>115</v>
      </c>
      <c r="Q24" s="106">
        <f t="shared" si="2"/>
        <v>135</v>
      </c>
    </row>
    <row r="25" spans="2:17" x14ac:dyDescent="0.25">
      <c r="B25" s="351"/>
      <c r="C25" s="351"/>
      <c r="E25" s="390"/>
      <c r="F25" s="389"/>
      <c r="I25" s="18"/>
      <c r="K25" s="206" t="str">
        <f>_xlfn.CONCAT(TEXT($E24,"#.000"),"mm","  to  ",TEXT($F24,"#.000"),"mm")</f>
        <v>1.929mm  to  4.595mm</v>
      </c>
      <c r="L25" s="900"/>
      <c r="M25" s="900"/>
      <c r="N25" s="900"/>
      <c r="O25" s="900"/>
      <c r="P25" s="900"/>
      <c r="Q25" s="901"/>
    </row>
    <row r="26" spans="2:17" x14ac:dyDescent="0.25">
      <c r="B26" s="541">
        <f>C24+$C$16</f>
        <v>0.18099999999999999</v>
      </c>
      <c r="C26" s="554">
        <v>0.28189999999999998</v>
      </c>
      <c r="E26" s="390">
        <f>F24+$E$16</f>
        <v>4.5958600000000001</v>
      </c>
      <c r="F26" s="390">
        <f>PRODUCT(C26,$E$15)</f>
        <v>7.1602599999999992</v>
      </c>
      <c r="I26" s="18">
        <v>4</v>
      </c>
      <c r="K26" s="111" t="str">
        <f>_xlfn.CONCAT(TEXT($B26,"#.000#"),"""","  to  ",TEXT($C26,"#.000#"),"""")</f>
        <v>.181"  to  .2819"</v>
      </c>
      <c r="L26" s="324">
        <f t="shared" ref="L26:Q26" si="3">INDEX($L$44:$Q$52,MATCH($I26,$I$44:$I$52,0),MATCH(L$19,$L$42:$Q$42,0))</f>
        <v>65</v>
      </c>
      <c r="M26" s="324">
        <f t="shared" si="3"/>
        <v>70</v>
      </c>
      <c r="N26" s="324">
        <f t="shared" si="3"/>
        <v>80</v>
      </c>
      <c r="O26" s="324">
        <f t="shared" si="3"/>
        <v>90</v>
      </c>
      <c r="P26" s="324">
        <f t="shared" si="3"/>
        <v>105</v>
      </c>
      <c r="Q26" s="113">
        <f t="shared" si="3"/>
        <v>125</v>
      </c>
    </row>
    <row r="27" spans="2:17" x14ac:dyDescent="0.25">
      <c r="B27" s="351"/>
      <c r="C27" s="351"/>
      <c r="E27" s="390"/>
      <c r="F27" s="389"/>
      <c r="I27" s="18"/>
      <c r="K27" s="211" t="str">
        <f>_xlfn.CONCAT(TEXT($E26,"#.000"),"mm","  to  ",TEXT($F26,"#.000"),"mm")</f>
        <v>4.596mm  to  7.160mm</v>
      </c>
      <c r="L27" s="898"/>
      <c r="M27" s="898"/>
      <c r="N27" s="898"/>
      <c r="O27" s="898"/>
      <c r="P27" s="898"/>
      <c r="Q27" s="899"/>
    </row>
    <row r="28" spans="2:17" x14ac:dyDescent="0.25">
      <c r="B28" s="541">
        <f>C26+$C$16</f>
        <v>0.28199999999999997</v>
      </c>
      <c r="C28" s="554">
        <v>0.40689999999999998</v>
      </c>
      <c r="E28" s="390">
        <f>F26+$E$16</f>
        <v>7.1612599999999995</v>
      </c>
      <c r="F28" s="390">
        <f>PRODUCT(C28,$E$15)</f>
        <v>10.33526</v>
      </c>
      <c r="I28" s="18">
        <v>5</v>
      </c>
      <c r="K28" s="102" t="str">
        <f>_xlfn.CONCAT(TEXT($B28,"#.000#"),"""","  to  ",TEXT($C28,"#.000#"),"""")</f>
        <v>.282"  to  .4069"</v>
      </c>
      <c r="L28" s="315">
        <f t="shared" ref="L28:Q28" si="4">INDEX($L$44:$Q$52,MATCH($I28,$I$44:$I$52,0),MATCH(L$19,$L$42:$Q$42,0))</f>
        <v>75</v>
      </c>
      <c r="M28" s="315">
        <f t="shared" si="4"/>
        <v>85</v>
      </c>
      <c r="N28" s="315">
        <f t="shared" si="4"/>
        <v>85</v>
      </c>
      <c r="O28" s="315">
        <f t="shared" si="4"/>
        <v>100</v>
      </c>
      <c r="P28" s="315">
        <f t="shared" si="4"/>
        <v>110</v>
      </c>
      <c r="Q28" s="106">
        <f t="shared" si="4"/>
        <v>130</v>
      </c>
    </row>
    <row r="29" spans="2:17" x14ac:dyDescent="0.25">
      <c r="B29" s="351"/>
      <c r="C29" s="351"/>
      <c r="E29" s="390"/>
      <c r="F29" s="389"/>
      <c r="I29" s="18"/>
      <c r="K29" s="206" t="str">
        <f>_xlfn.CONCAT(TEXT($E28,"#.000"),"mm","  to  ",TEXT($F28,"#.000"),"mm")</f>
        <v>7.161mm  to  10.335mm</v>
      </c>
      <c r="L29" s="900"/>
      <c r="M29" s="900"/>
      <c r="N29" s="900"/>
      <c r="O29" s="900"/>
      <c r="P29" s="900"/>
      <c r="Q29" s="901"/>
    </row>
    <row r="30" spans="2:17" x14ac:dyDescent="0.25">
      <c r="B30" s="541">
        <f>C28+$C$16</f>
        <v>0.40699999999999997</v>
      </c>
      <c r="C30" s="554">
        <v>0.51090000000000002</v>
      </c>
      <c r="E30" s="390">
        <f>F28+$E$16</f>
        <v>10.336259999999999</v>
      </c>
      <c r="F30" s="390">
        <f>PRODUCT(C30,$E$15)</f>
        <v>12.97686</v>
      </c>
      <c r="I30" s="18">
        <v>6</v>
      </c>
      <c r="K30" s="111" t="str">
        <f>_xlfn.CONCAT(TEXT($B30,"#.000#"),"""","  to  ",TEXT($C30,"#.000#"),"""")</f>
        <v>.407"  to  .5109"</v>
      </c>
      <c r="L30" s="324">
        <f t="shared" ref="L30:Q30" si="5">INDEX($L$44:$Q$52,MATCH($I30,$I$44:$I$52,0),MATCH(L$19,$L$42:$Q$42,0))</f>
        <v>85</v>
      </c>
      <c r="M30" s="324">
        <f t="shared" si="5"/>
        <v>90</v>
      </c>
      <c r="N30" s="324">
        <f t="shared" si="5"/>
        <v>95</v>
      </c>
      <c r="O30" s="324">
        <f t="shared" si="5"/>
        <v>105</v>
      </c>
      <c r="P30" s="324">
        <f t="shared" si="5"/>
        <v>120</v>
      </c>
      <c r="Q30" s="113">
        <f t="shared" si="5"/>
        <v>150</v>
      </c>
    </row>
    <row r="31" spans="2:17" x14ac:dyDescent="0.25">
      <c r="B31" s="351"/>
      <c r="C31" s="351"/>
      <c r="E31" s="390"/>
      <c r="F31" s="389"/>
      <c r="I31" s="18"/>
      <c r="K31" s="211" t="str">
        <f>_xlfn.CONCAT(TEXT($E30,"#.000"),"mm","  to  ",TEXT($F30,"#.000"),"mm")</f>
        <v>10.336mm  to  12.977mm</v>
      </c>
      <c r="L31" s="898"/>
      <c r="M31" s="898"/>
      <c r="N31" s="898"/>
      <c r="O31" s="898"/>
      <c r="P31" s="898"/>
      <c r="Q31" s="899"/>
    </row>
    <row r="32" spans="2:17" x14ac:dyDescent="0.25">
      <c r="B32" s="541">
        <f>C30+$C$16</f>
        <v>0.51100000000000001</v>
      </c>
      <c r="C32" s="554">
        <v>0.63590000000000002</v>
      </c>
      <c r="E32" s="390">
        <f>F30+$E$16</f>
        <v>12.97786</v>
      </c>
      <c r="F32" s="390">
        <f>PRODUCT(C32,$E$15)</f>
        <v>16.151859999999999</v>
      </c>
      <c r="I32" s="18">
        <v>7</v>
      </c>
      <c r="K32" s="102" t="str">
        <f>_xlfn.CONCAT(TEXT($B32,"#.000#"),"""","  to  ",TEXT($C32,"#.000#"),"""")</f>
        <v>.511"  to  .6359"</v>
      </c>
      <c r="L32" s="315">
        <f t="shared" ref="L32:Q32" si="6">INDEX($L$44:$Q$52,MATCH($I32,$I$44:$I$52,0),MATCH(L$19,$L$42:$Q$42,0))</f>
        <v>95</v>
      </c>
      <c r="M32" s="315">
        <f t="shared" si="6"/>
        <v>100</v>
      </c>
      <c r="N32" s="315">
        <f t="shared" si="6"/>
        <v>105</v>
      </c>
      <c r="O32" s="315">
        <f t="shared" si="6"/>
        <v>115</v>
      </c>
      <c r="P32" s="315">
        <f t="shared" si="6"/>
        <v>130</v>
      </c>
      <c r="Q32" s="106">
        <f t="shared" si="6"/>
        <v>165</v>
      </c>
    </row>
    <row r="33" spans="2:24" x14ac:dyDescent="0.25">
      <c r="B33" s="351"/>
      <c r="C33" s="351"/>
      <c r="E33" s="390"/>
      <c r="F33" s="389"/>
      <c r="I33" s="18"/>
      <c r="K33" s="206" t="str">
        <f>_xlfn.CONCAT(TEXT($E32,"#.000"),"mm","  to  ",TEXT($F32,"#.000"),"mm")</f>
        <v>12.978mm  to  16.152mm</v>
      </c>
      <c r="L33" s="900"/>
      <c r="M33" s="900"/>
      <c r="N33" s="900"/>
      <c r="O33" s="900"/>
      <c r="P33" s="900"/>
      <c r="Q33" s="901"/>
    </row>
    <row r="34" spans="2:24" x14ac:dyDescent="0.25">
      <c r="B34" s="541">
        <f>C32+$C$16</f>
        <v>0.63600000000000001</v>
      </c>
      <c r="C34" s="554">
        <v>0.76090000000000002</v>
      </c>
      <c r="E34" s="390">
        <f>F32+$E$16</f>
        <v>16.15286</v>
      </c>
      <c r="F34" s="390">
        <f>PRODUCT(C34,$E$15)</f>
        <v>19.32686</v>
      </c>
      <c r="I34" s="18">
        <v>8</v>
      </c>
      <c r="K34" s="111" t="str">
        <f>_xlfn.CONCAT(TEXT($B34,"#.000#"),"""","  to  ",TEXT($C34,"#.000#"),"""")</f>
        <v>.636"  to  .7609"</v>
      </c>
      <c r="L34" s="324">
        <f t="shared" ref="L34:Q34" si="7">INDEX($L$44:$Q$52,MATCH($I34,$I$44:$I$52,0),MATCH(L$19,$L$42:$Q$42,0))</f>
        <v>105</v>
      </c>
      <c r="M34" s="324">
        <f t="shared" si="7"/>
        <v>115</v>
      </c>
      <c r="N34" s="324">
        <f t="shared" si="7"/>
        <v>120</v>
      </c>
      <c r="O34" s="324">
        <f t="shared" si="7"/>
        <v>130</v>
      </c>
      <c r="P34" s="324">
        <f t="shared" si="7"/>
        <v>150</v>
      </c>
      <c r="Q34" s="113">
        <f t="shared" si="7"/>
        <v>180</v>
      </c>
    </row>
    <row r="35" spans="2:24" x14ac:dyDescent="0.25">
      <c r="B35" s="351"/>
      <c r="C35" s="351"/>
      <c r="E35" s="390"/>
      <c r="F35" s="389"/>
      <c r="I35" s="18"/>
      <c r="K35" s="211" t="str">
        <f>_xlfn.CONCAT(TEXT($E34,"#.000"),"mm","  to  ",TEXT($F34,"#.000"),"mm")</f>
        <v>16.153mm  to  19.327mm</v>
      </c>
      <c r="L35" s="898"/>
      <c r="M35" s="898"/>
      <c r="N35" s="898"/>
      <c r="O35" s="898"/>
      <c r="P35" s="898"/>
      <c r="Q35" s="899"/>
    </row>
    <row r="36" spans="2:24" x14ac:dyDescent="0.25">
      <c r="B36" s="541">
        <f>C34+$C$16</f>
        <v>0.76100000000000001</v>
      </c>
      <c r="C36" s="554">
        <v>1.01</v>
      </c>
      <c r="E36" s="390">
        <f>F34+$E$16</f>
        <v>19.327860000000001</v>
      </c>
      <c r="F36" s="554">
        <v>25.654</v>
      </c>
      <c r="I36" s="18">
        <v>9</v>
      </c>
      <c r="K36" s="102" t="str">
        <f>_xlfn.CONCAT(TEXT($B36,"#.000#"),"""","  to  ",TEXT($C36,"#.000#"),"""")</f>
        <v>.761"  to  1.010"</v>
      </c>
      <c r="L36" s="315">
        <f t="shared" ref="L36:Q36" si="8">INDEX($L$44:$Q$52,MATCH($I36,$I$44:$I$52,0),MATCH(L$19,$L$42:$Q$42,0))</f>
        <v>110</v>
      </c>
      <c r="M36" s="315">
        <f t="shared" si="8"/>
        <v>125</v>
      </c>
      <c r="N36" s="315">
        <f t="shared" si="8"/>
        <v>140</v>
      </c>
      <c r="O36" s="315">
        <f t="shared" si="8"/>
        <v>160</v>
      </c>
      <c r="P36" s="315">
        <f t="shared" si="8"/>
        <v>180</v>
      </c>
      <c r="Q36" s="106">
        <f t="shared" si="8"/>
        <v>215</v>
      </c>
    </row>
    <row r="37" spans="2:24" ht="15.75" thickBot="1" x14ac:dyDescent="0.3">
      <c r="E37" s="36"/>
      <c r="F37" s="36"/>
      <c r="I37" s="18"/>
      <c r="K37" s="216" t="str">
        <f>_xlfn.CONCAT(TEXT($E36,"#.000"),"mm","  to  ",TEXT($F36,"#.000"),"mm")</f>
        <v>19.328mm  to  25.654mm</v>
      </c>
      <c r="L37" s="217"/>
      <c r="M37" s="217"/>
      <c r="N37" s="217"/>
      <c r="O37" s="217"/>
      <c r="P37" s="217"/>
      <c r="Q37" s="218"/>
    </row>
    <row r="38" spans="2:24" x14ac:dyDescent="0.25">
      <c r="I38" s="18"/>
    </row>
    <row r="39" spans="2:24" x14ac:dyDescent="0.25">
      <c r="I39" s="18"/>
      <c r="K39" s="17" t="s">
        <v>957</v>
      </c>
    </row>
    <row r="41" spans="2:24" collapsed="1" x14ac:dyDescent="0.25"/>
    <row r="42" spans="2:24" hidden="1" outlineLevel="1" x14ac:dyDescent="0.25">
      <c r="L42" s="469">
        <v>3</v>
      </c>
      <c r="M42" s="469">
        <v>4</v>
      </c>
      <c r="N42" s="469">
        <v>5</v>
      </c>
      <c r="O42" s="469">
        <v>6</v>
      </c>
      <c r="P42" s="469">
        <v>9</v>
      </c>
      <c r="Q42" s="469">
        <v>12</v>
      </c>
      <c r="S42" s="469">
        <v>3</v>
      </c>
      <c r="T42" s="469">
        <v>4</v>
      </c>
      <c r="U42" s="469">
        <v>5</v>
      </c>
      <c r="V42" s="469">
        <v>6</v>
      </c>
      <c r="W42" s="469">
        <v>9</v>
      </c>
      <c r="X42" s="469">
        <v>12</v>
      </c>
    </row>
    <row r="43" spans="2:24" hidden="1" outlineLevel="1" x14ac:dyDescent="0.25">
      <c r="L43" s="470"/>
      <c r="M43" s="470"/>
      <c r="N43" s="470"/>
      <c r="O43" s="470"/>
      <c r="P43" s="470"/>
      <c r="Q43" s="470"/>
      <c r="S43" s="470"/>
      <c r="T43" s="470"/>
      <c r="U43" s="470"/>
      <c r="V43" s="470"/>
      <c r="W43" s="470"/>
      <c r="X43" s="470"/>
    </row>
    <row r="44" spans="2:24" hidden="1" outlineLevel="1" x14ac:dyDescent="0.25">
      <c r="I44" s="18">
        <v>1</v>
      </c>
      <c r="L44" s="529">
        <f t="shared" ref="L44:Q52" si="9">MROUND(PRODUCT(L55,(1+INDEX($S$55:$X$63,MATCH($I44,$I$55:$I$63,0),MATCH(L$42,$S$42:$X$42,0)))),5)</f>
        <v>85</v>
      </c>
      <c r="M44" s="529">
        <f t="shared" si="9"/>
        <v>100</v>
      </c>
      <c r="N44" s="529">
        <f t="shared" si="9"/>
        <v>120</v>
      </c>
      <c r="O44" s="529">
        <f t="shared" si="9"/>
        <v>140</v>
      </c>
      <c r="P44" s="529">
        <f t="shared" si="9"/>
        <v>160</v>
      </c>
      <c r="Q44" s="529">
        <f t="shared" si="9"/>
        <v>205</v>
      </c>
      <c r="S44" s="470"/>
      <c r="T44" s="470"/>
      <c r="U44" s="470"/>
      <c r="V44" s="470"/>
      <c r="W44" s="470"/>
      <c r="X44" s="470"/>
    </row>
    <row r="45" spans="2:24" hidden="1" outlineLevel="1" x14ac:dyDescent="0.25">
      <c r="I45" s="18">
        <v>2</v>
      </c>
      <c r="L45" s="529">
        <f t="shared" si="9"/>
        <v>75</v>
      </c>
      <c r="M45" s="529">
        <f t="shared" si="9"/>
        <v>85</v>
      </c>
      <c r="N45" s="529">
        <f t="shared" si="9"/>
        <v>95</v>
      </c>
      <c r="O45" s="529">
        <f t="shared" si="9"/>
        <v>100</v>
      </c>
      <c r="P45" s="529">
        <f t="shared" si="9"/>
        <v>120</v>
      </c>
      <c r="Q45" s="529">
        <f t="shared" si="9"/>
        <v>150</v>
      </c>
      <c r="S45" s="470"/>
      <c r="T45" s="470"/>
      <c r="U45" s="470"/>
      <c r="V45" s="470"/>
      <c r="W45" s="470"/>
      <c r="X45" s="470"/>
    </row>
    <row r="46" spans="2:24" hidden="1" outlineLevel="1" x14ac:dyDescent="0.25">
      <c r="I46" s="18">
        <v>3</v>
      </c>
      <c r="L46" s="529">
        <f t="shared" si="9"/>
        <v>70</v>
      </c>
      <c r="M46" s="529">
        <f t="shared" si="9"/>
        <v>75</v>
      </c>
      <c r="N46" s="529">
        <f t="shared" si="9"/>
        <v>85</v>
      </c>
      <c r="O46" s="529">
        <f t="shared" si="9"/>
        <v>95</v>
      </c>
      <c r="P46" s="529">
        <f t="shared" si="9"/>
        <v>115</v>
      </c>
      <c r="Q46" s="529">
        <f t="shared" si="9"/>
        <v>135</v>
      </c>
      <c r="S46" s="470"/>
      <c r="T46" s="470"/>
      <c r="U46" s="470"/>
      <c r="V46" s="470"/>
      <c r="W46" s="470"/>
      <c r="X46" s="470"/>
    </row>
    <row r="47" spans="2:24" hidden="1" outlineLevel="1" x14ac:dyDescent="0.25">
      <c r="I47" s="18">
        <v>4</v>
      </c>
      <c r="L47" s="529">
        <f t="shared" si="9"/>
        <v>65</v>
      </c>
      <c r="M47" s="529">
        <f t="shared" si="9"/>
        <v>70</v>
      </c>
      <c r="N47" s="529">
        <f t="shared" si="9"/>
        <v>80</v>
      </c>
      <c r="O47" s="529">
        <f t="shared" si="9"/>
        <v>90</v>
      </c>
      <c r="P47" s="529">
        <f t="shared" si="9"/>
        <v>105</v>
      </c>
      <c r="Q47" s="529">
        <f t="shared" si="9"/>
        <v>125</v>
      </c>
      <c r="S47" s="470"/>
      <c r="T47" s="470"/>
      <c r="U47" s="470"/>
      <c r="V47" s="470"/>
      <c r="W47" s="470"/>
      <c r="X47" s="470"/>
    </row>
    <row r="48" spans="2:24" hidden="1" outlineLevel="1" x14ac:dyDescent="0.25">
      <c r="I48" s="18">
        <v>5</v>
      </c>
      <c r="L48" s="529">
        <f t="shared" si="9"/>
        <v>75</v>
      </c>
      <c r="M48" s="529">
        <f t="shared" si="9"/>
        <v>85</v>
      </c>
      <c r="N48" s="529">
        <f t="shared" si="9"/>
        <v>85</v>
      </c>
      <c r="O48" s="529">
        <f t="shared" si="9"/>
        <v>100</v>
      </c>
      <c r="P48" s="529">
        <f t="shared" si="9"/>
        <v>110</v>
      </c>
      <c r="Q48" s="529">
        <f t="shared" si="9"/>
        <v>130</v>
      </c>
      <c r="S48" s="470"/>
      <c r="T48" s="470"/>
      <c r="U48" s="470"/>
      <c r="V48" s="470"/>
      <c r="W48" s="470"/>
      <c r="X48" s="470"/>
    </row>
    <row r="49" spans="9:24" hidden="1" outlineLevel="1" x14ac:dyDescent="0.25">
      <c r="I49" s="18">
        <v>6</v>
      </c>
      <c r="L49" s="529">
        <f t="shared" si="9"/>
        <v>85</v>
      </c>
      <c r="M49" s="529">
        <f t="shared" si="9"/>
        <v>90</v>
      </c>
      <c r="N49" s="529">
        <f t="shared" si="9"/>
        <v>95</v>
      </c>
      <c r="O49" s="529">
        <f t="shared" si="9"/>
        <v>105</v>
      </c>
      <c r="P49" s="529">
        <f t="shared" si="9"/>
        <v>120</v>
      </c>
      <c r="Q49" s="529">
        <f t="shared" si="9"/>
        <v>150</v>
      </c>
      <c r="S49" s="470"/>
      <c r="T49" s="470"/>
      <c r="U49" s="470"/>
      <c r="V49" s="470"/>
      <c r="W49" s="470"/>
      <c r="X49" s="470"/>
    </row>
    <row r="50" spans="9:24" hidden="1" outlineLevel="1" x14ac:dyDescent="0.25">
      <c r="I50" s="18">
        <v>7</v>
      </c>
      <c r="L50" s="529">
        <f t="shared" si="9"/>
        <v>95</v>
      </c>
      <c r="M50" s="529">
        <f t="shared" si="9"/>
        <v>100</v>
      </c>
      <c r="N50" s="529">
        <f t="shared" si="9"/>
        <v>105</v>
      </c>
      <c r="O50" s="529">
        <f t="shared" si="9"/>
        <v>115</v>
      </c>
      <c r="P50" s="529">
        <f t="shared" si="9"/>
        <v>130</v>
      </c>
      <c r="Q50" s="529">
        <f t="shared" si="9"/>
        <v>165</v>
      </c>
      <c r="S50" s="470"/>
      <c r="T50" s="470"/>
      <c r="U50" s="470"/>
      <c r="V50" s="470"/>
      <c r="W50" s="470"/>
      <c r="X50" s="470"/>
    </row>
    <row r="51" spans="9:24" hidden="1" outlineLevel="1" x14ac:dyDescent="0.25">
      <c r="I51" s="18">
        <v>8</v>
      </c>
      <c r="L51" s="529">
        <f t="shared" si="9"/>
        <v>105</v>
      </c>
      <c r="M51" s="529">
        <f t="shared" si="9"/>
        <v>115</v>
      </c>
      <c r="N51" s="529">
        <f t="shared" si="9"/>
        <v>120</v>
      </c>
      <c r="O51" s="529">
        <f t="shared" si="9"/>
        <v>130</v>
      </c>
      <c r="P51" s="529">
        <f t="shared" si="9"/>
        <v>150</v>
      </c>
      <c r="Q51" s="529">
        <f t="shared" si="9"/>
        <v>180</v>
      </c>
      <c r="S51" s="470"/>
      <c r="T51" s="470"/>
      <c r="U51" s="470"/>
      <c r="V51" s="470"/>
      <c r="W51" s="470"/>
      <c r="X51" s="470"/>
    </row>
    <row r="52" spans="9:24" hidden="1" outlineLevel="1" x14ac:dyDescent="0.25">
      <c r="I52" s="18">
        <v>9</v>
      </c>
      <c r="L52" s="529">
        <f t="shared" si="9"/>
        <v>110</v>
      </c>
      <c r="M52" s="529">
        <f t="shared" si="9"/>
        <v>125</v>
      </c>
      <c r="N52" s="529">
        <f t="shared" si="9"/>
        <v>140</v>
      </c>
      <c r="O52" s="529">
        <f t="shared" si="9"/>
        <v>160</v>
      </c>
      <c r="P52" s="529">
        <f t="shared" si="9"/>
        <v>180</v>
      </c>
      <c r="Q52" s="529">
        <f t="shared" si="9"/>
        <v>215</v>
      </c>
      <c r="S52" s="470"/>
      <c r="T52" s="470"/>
      <c r="U52" s="470"/>
      <c r="V52" s="470"/>
      <c r="W52" s="470"/>
      <c r="X52" s="470"/>
    </row>
    <row r="53" spans="9:24" hidden="1" outlineLevel="1" x14ac:dyDescent="0.25">
      <c r="L53" s="470"/>
      <c r="M53" s="470"/>
      <c r="N53" s="470"/>
      <c r="O53" s="470"/>
      <c r="P53" s="470"/>
      <c r="Q53" s="470"/>
      <c r="S53" s="470"/>
      <c r="T53" s="470"/>
      <c r="U53" s="470"/>
      <c r="V53" s="470"/>
      <c r="W53" s="470"/>
      <c r="X53" s="470"/>
    </row>
    <row r="54" spans="9:24" hidden="1" outlineLevel="1" x14ac:dyDescent="0.25">
      <c r="K54" s="17" t="s">
        <v>1315</v>
      </c>
    </row>
    <row r="55" spans="9:24" hidden="1" outlineLevel="1" x14ac:dyDescent="0.25">
      <c r="I55" s="18">
        <v>1</v>
      </c>
      <c r="L55" s="296">
        <v>65</v>
      </c>
      <c r="M55" s="296">
        <v>80</v>
      </c>
      <c r="N55" s="296">
        <v>95</v>
      </c>
      <c r="O55" s="296">
        <v>110</v>
      </c>
      <c r="P55" s="296">
        <v>125</v>
      </c>
      <c r="Q55" s="296">
        <v>160</v>
      </c>
      <c r="S55" s="475">
        <v>0.28000000000000003</v>
      </c>
      <c r="T55" s="475">
        <v>0.28000000000000003</v>
      </c>
      <c r="U55" s="475">
        <v>0.28000000000000003</v>
      </c>
      <c r="V55" s="475">
        <v>0.28000000000000003</v>
      </c>
      <c r="W55" s="475">
        <v>0.28000000000000003</v>
      </c>
      <c r="X55" s="475">
        <v>0.28000000000000003</v>
      </c>
    </row>
    <row r="56" spans="9:24" hidden="1" outlineLevel="1" x14ac:dyDescent="0.25">
      <c r="I56" s="18">
        <v>2</v>
      </c>
      <c r="L56" s="296">
        <v>60</v>
      </c>
      <c r="M56" s="296">
        <v>65</v>
      </c>
      <c r="N56" s="296">
        <v>75</v>
      </c>
      <c r="O56" s="296">
        <v>80</v>
      </c>
      <c r="P56" s="296">
        <v>95</v>
      </c>
      <c r="Q56" s="296">
        <v>120</v>
      </c>
      <c r="S56" s="475">
        <v>0.27</v>
      </c>
      <c r="T56" s="475">
        <v>0.27</v>
      </c>
      <c r="U56" s="475">
        <v>0.27</v>
      </c>
      <c r="V56" s="475">
        <v>0.27</v>
      </c>
      <c r="W56" s="475">
        <v>0.27</v>
      </c>
      <c r="X56" s="475">
        <v>0.27</v>
      </c>
    </row>
    <row r="57" spans="9:24" hidden="1" outlineLevel="1" x14ac:dyDescent="0.25">
      <c r="I57" s="18">
        <v>3</v>
      </c>
      <c r="L57" s="296">
        <v>55</v>
      </c>
      <c r="M57" s="296">
        <v>60</v>
      </c>
      <c r="N57" s="296">
        <v>65</v>
      </c>
      <c r="O57" s="296">
        <v>75</v>
      </c>
      <c r="P57" s="296">
        <v>90</v>
      </c>
      <c r="Q57" s="296">
        <v>105</v>
      </c>
      <c r="S57" s="475">
        <v>0.28999999999999998</v>
      </c>
      <c r="T57" s="475">
        <v>0.28999999999999998</v>
      </c>
      <c r="U57" s="475">
        <v>0.28999999999999998</v>
      </c>
      <c r="V57" s="475">
        <v>0.28999999999999998</v>
      </c>
      <c r="W57" s="475">
        <v>0.28999999999999998</v>
      </c>
      <c r="X57" s="475">
        <v>0.28999999999999998</v>
      </c>
    </row>
    <row r="58" spans="9:24" hidden="1" outlineLevel="1" x14ac:dyDescent="0.25">
      <c r="I58" s="18">
        <v>4</v>
      </c>
      <c r="L58" s="296">
        <v>50</v>
      </c>
      <c r="M58" s="296">
        <v>55</v>
      </c>
      <c r="N58" s="296">
        <v>60</v>
      </c>
      <c r="O58" s="296">
        <v>70</v>
      </c>
      <c r="P58" s="296">
        <v>80</v>
      </c>
      <c r="Q58" s="296">
        <v>95</v>
      </c>
      <c r="S58" s="475">
        <v>0.3</v>
      </c>
      <c r="T58" s="475">
        <v>0.3</v>
      </c>
      <c r="U58" s="475">
        <v>0.3</v>
      </c>
      <c r="V58" s="475">
        <v>0.3</v>
      </c>
      <c r="W58" s="475">
        <v>0.3</v>
      </c>
      <c r="X58" s="475">
        <v>0.3</v>
      </c>
    </row>
    <row r="59" spans="9:24" hidden="1" outlineLevel="1" x14ac:dyDescent="0.25">
      <c r="I59" s="18">
        <v>5</v>
      </c>
      <c r="L59" s="296">
        <v>65</v>
      </c>
      <c r="M59" s="296">
        <v>70</v>
      </c>
      <c r="N59" s="296">
        <v>70</v>
      </c>
      <c r="O59" s="296">
        <v>85</v>
      </c>
      <c r="P59" s="296">
        <v>95</v>
      </c>
      <c r="Q59" s="296">
        <v>110</v>
      </c>
      <c r="S59" s="475">
        <v>0.18</v>
      </c>
      <c r="T59" s="475">
        <v>0.18</v>
      </c>
      <c r="U59" s="475">
        <v>0.18</v>
      </c>
      <c r="V59" s="475">
        <v>0.18</v>
      </c>
      <c r="W59" s="475">
        <v>0.18</v>
      </c>
      <c r="X59" s="475">
        <v>0.18</v>
      </c>
    </row>
    <row r="60" spans="9:24" hidden="1" outlineLevel="1" x14ac:dyDescent="0.25">
      <c r="I60" s="18">
        <v>6</v>
      </c>
      <c r="L60" s="296">
        <v>75</v>
      </c>
      <c r="M60" s="296">
        <v>80</v>
      </c>
      <c r="N60" s="296">
        <v>85</v>
      </c>
      <c r="O60" s="296">
        <v>95</v>
      </c>
      <c r="P60" s="296">
        <v>110</v>
      </c>
      <c r="Q60" s="296">
        <v>135</v>
      </c>
      <c r="S60" s="475">
        <v>0.1</v>
      </c>
      <c r="T60" s="475">
        <v>0.1</v>
      </c>
      <c r="U60" s="475">
        <v>0.1</v>
      </c>
      <c r="V60" s="475">
        <v>0.1</v>
      </c>
      <c r="W60" s="475">
        <v>0.1</v>
      </c>
      <c r="X60" s="475">
        <v>0.1</v>
      </c>
    </row>
    <row r="61" spans="9:24" hidden="1" outlineLevel="1" x14ac:dyDescent="0.25">
      <c r="I61" s="18">
        <v>7</v>
      </c>
      <c r="L61" s="296">
        <v>85</v>
      </c>
      <c r="M61" s="296">
        <v>90</v>
      </c>
      <c r="N61" s="296">
        <v>95</v>
      </c>
      <c r="O61" s="296">
        <v>105</v>
      </c>
      <c r="P61" s="296">
        <v>120</v>
      </c>
      <c r="Q61" s="296">
        <v>150</v>
      </c>
      <c r="S61" s="475">
        <v>0.1</v>
      </c>
      <c r="T61" s="475">
        <v>0.1</v>
      </c>
      <c r="U61" s="475">
        <v>0.1</v>
      </c>
      <c r="V61" s="475">
        <v>0.1</v>
      </c>
      <c r="W61" s="475">
        <v>0.1</v>
      </c>
      <c r="X61" s="475">
        <v>0.1</v>
      </c>
    </row>
    <row r="62" spans="9:24" hidden="1" outlineLevel="1" x14ac:dyDescent="0.25">
      <c r="I62" s="18">
        <v>8</v>
      </c>
      <c r="L62" s="296">
        <v>95</v>
      </c>
      <c r="M62" s="296">
        <v>105</v>
      </c>
      <c r="N62" s="296">
        <v>110</v>
      </c>
      <c r="O62" s="296">
        <v>120</v>
      </c>
      <c r="P62" s="296">
        <v>135</v>
      </c>
      <c r="Q62" s="296">
        <v>165</v>
      </c>
      <c r="S62" s="475">
        <v>0.1</v>
      </c>
      <c r="T62" s="475">
        <v>0.1</v>
      </c>
      <c r="U62" s="475">
        <v>0.1</v>
      </c>
      <c r="V62" s="475">
        <v>0.1</v>
      </c>
      <c r="W62" s="475">
        <v>0.1</v>
      </c>
      <c r="X62" s="475">
        <v>0.1</v>
      </c>
    </row>
    <row r="63" spans="9:24" hidden="1" outlineLevel="1" x14ac:dyDescent="0.25">
      <c r="I63" s="18">
        <v>9</v>
      </c>
      <c r="L63" s="296">
        <v>105</v>
      </c>
      <c r="M63" s="296">
        <v>120</v>
      </c>
      <c r="N63" s="296">
        <v>135</v>
      </c>
      <c r="O63" s="296">
        <v>150</v>
      </c>
      <c r="P63" s="296">
        <v>170</v>
      </c>
      <c r="Q63" s="296">
        <v>205</v>
      </c>
      <c r="S63" s="475">
        <v>0.05</v>
      </c>
      <c r="T63" s="475">
        <v>0.05</v>
      </c>
      <c r="U63" s="475">
        <v>0.05</v>
      </c>
      <c r="V63" s="475">
        <v>0.05</v>
      </c>
      <c r="W63" s="475">
        <v>0.05</v>
      </c>
      <c r="X63" s="475">
        <v>0.05</v>
      </c>
    </row>
    <row r="64" spans="9:24" hidden="1" outlineLevel="1" x14ac:dyDescent="0.25">
      <c r="L64" s="470"/>
      <c r="M64" s="470"/>
      <c r="N64" s="470"/>
      <c r="O64" s="470"/>
      <c r="P64" s="470"/>
      <c r="Q64" s="470"/>
      <c r="S64" s="1043"/>
      <c r="T64" s="1043"/>
      <c r="U64" s="1043"/>
      <c r="V64" s="1043"/>
      <c r="W64" s="1043"/>
      <c r="X64" s="1043"/>
    </row>
    <row r="65" spans="9:24" hidden="1" outlineLevel="1" x14ac:dyDescent="0.25">
      <c r="K65" s="17" t="s">
        <v>1312</v>
      </c>
      <c r="L65" s="470"/>
      <c r="M65" s="470"/>
      <c r="N65" s="470"/>
      <c r="O65" s="470"/>
      <c r="P65" s="470"/>
      <c r="Q65" s="470"/>
      <c r="S65" s="1043"/>
      <c r="T65" s="1043"/>
      <c r="U65" s="1043"/>
      <c r="V65" s="1043"/>
      <c r="W65" s="1043"/>
      <c r="X65" s="1043"/>
    </row>
    <row r="66" spans="9:24" hidden="1" outlineLevel="1" x14ac:dyDescent="0.25">
      <c r="I66" s="18">
        <v>1</v>
      </c>
      <c r="L66" s="296">
        <v>65</v>
      </c>
      <c r="M66" s="296">
        <v>75</v>
      </c>
      <c r="N66" s="296">
        <v>95</v>
      </c>
      <c r="O66" s="296">
        <v>105</v>
      </c>
      <c r="P66" s="296">
        <v>130</v>
      </c>
      <c r="Q66" s="296">
        <v>160</v>
      </c>
      <c r="S66" s="521">
        <f t="shared" ref="S66:S74" si="10">(L44-L66)/L66</f>
        <v>0.30769230769230771</v>
      </c>
      <c r="T66" s="521">
        <f t="shared" ref="T66:T74" si="11">(M44-M66)/M66</f>
        <v>0.33333333333333331</v>
      </c>
      <c r="U66" s="521">
        <f t="shared" ref="U66:U74" si="12">(N44-N66)/N66</f>
        <v>0.26315789473684209</v>
      </c>
      <c r="V66" s="521">
        <f t="shared" ref="V66:V74" si="13">(O44-O66)/O66</f>
        <v>0.33333333333333331</v>
      </c>
      <c r="W66" s="521">
        <f t="shared" ref="W66:W74" si="14">(P44-P66)/P66</f>
        <v>0.23076923076923078</v>
      </c>
      <c r="X66" s="521">
        <f t="shared" ref="X66:X74" si="15">(Q44-Q66)/Q66</f>
        <v>0.28125</v>
      </c>
    </row>
    <row r="67" spans="9:24" hidden="1" outlineLevel="1" x14ac:dyDescent="0.25">
      <c r="I67" s="18">
        <v>2</v>
      </c>
      <c r="L67" s="296">
        <v>60</v>
      </c>
      <c r="M67" s="296">
        <v>65</v>
      </c>
      <c r="N67" s="296">
        <v>80</v>
      </c>
      <c r="O67" s="296">
        <v>85</v>
      </c>
      <c r="P67" s="296">
        <v>100</v>
      </c>
      <c r="Q67" s="296">
        <v>120</v>
      </c>
      <c r="S67" s="521">
        <f t="shared" si="10"/>
        <v>0.25</v>
      </c>
      <c r="T67" s="521">
        <f t="shared" si="11"/>
        <v>0.30769230769230771</v>
      </c>
      <c r="U67" s="521">
        <f t="shared" si="12"/>
        <v>0.1875</v>
      </c>
      <c r="V67" s="521">
        <f t="shared" si="13"/>
        <v>0.17647058823529413</v>
      </c>
      <c r="W67" s="521">
        <f t="shared" si="14"/>
        <v>0.2</v>
      </c>
      <c r="X67" s="521">
        <f t="shared" si="15"/>
        <v>0.25</v>
      </c>
    </row>
    <row r="68" spans="9:24" hidden="1" outlineLevel="1" x14ac:dyDescent="0.25">
      <c r="I68" s="18">
        <v>3</v>
      </c>
      <c r="L68" s="296">
        <v>60</v>
      </c>
      <c r="M68" s="296">
        <v>65</v>
      </c>
      <c r="N68" s="296">
        <v>80</v>
      </c>
      <c r="O68" s="296">
        <v>85</v>
      </c>
      <c r="P68" s="296">
        <v>95</v>
      </c>
      <c r="Q68" s="296">
        <v>105</v>
      </c>
      <c r="S68" s="521">
        <f t="shared" si="10"/>
        <v>0.16666666666666666</v>
      </c>
      <c r="T68" s="521">
        <f t="shared" si="11"/>
        <v>0.15384615384615385</v>
      </c>
      <c r="U68" s="521">
        <f t="shared" si="12"/>
        <v>6.25E-2</v>
      </c>
      <c r="V68" s="521">
        <f t="shared" si="13"/>
        <v>0.11764705882352941</v>
      </c>
      <c r="W68" s="521">
        <f t="shared" si="14"/>
        <v>0.21052631578947367</v>
      </c>
      <c r="X68" s="521">
        <f t="shared" si="15"/>
        <v>0.2857142857142857</v>
      </c>
    </row>
    <row r="69" spans="9:24" hidden="1" outlineLevel="1" x14ac:dyDescent="0.25">
      <c r="I69" s="18">
        <v>4</v>
      </c>
      <c r="L69" s="296">
        <v>60</v>
      </c>
      <c r="M69" s="296">
        <v>65</v>
      </c>
      <c r="N69" s="296">
        <v>80</v>
      </c>
      <c r="O69" s="296">
        <v>90</v>
      </c>
      <c r="P69" s="296">
        <v>100</v>
      </c>
      <c r="Q69" s="296">
        <v>120</v>
      </c>
      <c r="S69" s="521">
        <f t="shared" si="10"/>
        <v>8.3333333333333329E-2</v>
      </c>
      <c r="T69" s="521">
        <f t="shared" si="11"/>
        <v>7.6923076923076927E-2</v>
      </c>
      <c r="U69" s="521">
        <f t="shared" si="12"/>
        <v>0</v>
      </c>
      <c r="V69" s="521">
        <f t="shared" si="13"/>
        <v>0</v>
      </c>
      <c r="W69" s="521">
        <f t="shared" si="14"/>
        <v>0.05</v>
      </c>
      <c r="X69" s="521">
        <f t="shared" si="15"/>
        <v>4.1666666666666664E-2</v>
      </c>
    </row>
    <row r="70" spans="9:24" hidden="1" outlineLevel="1" x14ac:dyDescent="0.25">
      <c r="I70" s="18">
        <v>5</v>
      </c>
      <c r="L70" s="296">
        <v>60</v>
      </c>
      <c r="M70" s="296">
        <v>65</v>
      </c>
      <c r="N70" s="296">
        <v>80</v>
      </c>
      <c r="O70" s="296">
        <v>90</v>
      </c>
      <c r="P70" s="296">
        <v>100</v>
      </c>
      <c r="Q70" s="296">
        <v>120</v>
      </c>
      <c r="S70" s="521">
        <f t="shared" si="10"/>
        <v>0.25</v>
      </c>
      <c r="T70" s="521">
        <f t="shared" si="11"/>
        <v>0.30769230769230771</v>
      </c>
      <c r="U70" s="521">
        <f t="shared" si="12"/>
        <v>6.25E-2</v>
      </c>
      <c r="V70" s="521">
        <f t="shared" si="13"/>
        <v>0.1111111111111111</v>
      </c>
      <c r="W70" s="521">
        <f t="shared" si="14"/>
        <v>0.1</v>
      </c>
      <c r="X70" s="521">
        <f t="shared" si="15"/>
        <v>8.3333333333333329E-2</v>
      </c>
    </row>
    <row r="71" spans="9:24" hidden="1" outlineLevel="1" x14ac:dyDescent="0.25">
      <c r="I71" s="18">
        <v>6</v>
      </c>
      <c r="L71" s="296">
        <v>70</v>
      </c>
      <c r="M71" s="296">
        <v>75</v>
      </c>
      <c r="N71" s="296">
        <v>85</v>
      </c>
      <c r="O71" s="296">
        <v>95</v>
      </c>
      <c r="P71" s="296">
        <v>105</v>
      </c>
      <c r="Q71" s="296">
        <v>125</v>
      </c>
      <c r="S71" s="521">
        <f t="shared" si="10"/>
        <v>0.21428571428571427</v>
      </c>
      <c r="T71" s="521">
        <f t="shared" si="11"/>
        <v>0.2</v>
      </c>
      <c r="U71" s="521">
        <f t="shared" si="12"/>
        <v>0.11764705882352941</v>
      </c>
      <c r="V71" s="521">
        <f t="shared" si="13"/>
        <v>0.10526315789473684</v>
      </c>
      <c r="W71" s="521">
        <f t="shared" si="14"/>
        <v>0.14285714285714285</v>
      </c>
      <c r="X71" s="521">
        <f t="shared" si="15"/>
        <v>0.2</v>
      </c>
    </row>
    <row r="72" spans="9:24" hidden="1" outlineLevel="1" x14ac:dyDescent="0.25">
      <c r="I72" s="18">
        <v>7</v>
      </c>
      <c r="L72" s="296">
        <v>70</v>
      </c>
      <c r="M72" s="296">
        <v>75</v>
      </c>
      <c r="N72" s="296">
        <v>90</v>
      </c>
      <c r="O72" s="296">
        <v>100</v>
      </c>
      <c r="P72" s="296">
        <v>110</v>
      </c>
      <c r="Q72" s="296">
        <v>135</v>
      </c>
      <c r="S72" s="521">
        <f t="shared" si="10"/>
        <v>0.35714285714285715</v>
      </c>
      <c r="T72" s="521">
        <f t="shared" si="11"/>
        <v>0.33333333333333331</v>
      </c>
      <c r="U72" s="521">
        <f t="shared" si="12"/>
        <v>0.16666666666666666</v>
      </c>
      <c r="V72" s="521">
        <f t="shared" si="13"/>
        <v>0.15</v>
      </c>
      <c r="W72" s="521">
        <f t="shared" si="14"/>
        <v>0.18181818181818182</v>
      </c>
      <c r="X72" s="521">
        <f t="shared" si="15"/>
        <v>0.22222222222222221</v>
      </c>
    </row>
    <row r="73" spans="9:24" hidden="1" outlineLevel="1" x14ac:dyDescent="0.25">
      <c r="I73" s="18">
        <v>8</v>
      </c>
      <c r="L73" s="296">
        <v>70</v>
      </c>
      <c r="M73" s="296">
        <v>85</v>
      </c>
      <c r="N73" s="296">
        <v>100</v>
      </c>
      <c r="O73" s="296">
        <v>110</v>
      </c>
      <c r="P73" s="296">
        <v>125</v>
      </c>
      <c r="Q73" s="296">
        <v>155</v>
      </c>
      <c r="S73" s="521">
        <f t="shared" si="10"/>
        <v>0.5</v>
      </c>
      <c r="T73" s="521">
        <f t="shared" si="11"/>
        <v>0.35294117647058826</v>
      </c>
      <c r="U73" s="521">
        <f t="shared" si="12"/>
        <v>0.2</v>
      </c>
      <c r="V73" s="521">
        <f t="shared" si="13"/>
        <v>0.18181818181818182</v>
      </c>
      <c r="W73" s="521">
        <f t="shared" si="14"/>
        <v>0.2</v>
      </c>
      <c r="X73" s="521">
        <f t="shared" si="15"/>
        <v>0.16129032258064516</v>
      </c>
    </row>
    <row r="74" spans="9:24" hidden="1" outlineLevel="1" x14ac:dyDescent="0.25">
      <c r="I74" s="18">
        <v>9</v>
      </c>
      <c r="L74" s="296">
        <v>100</v>
      </c>
      <c r="M74" s="296">
        <v>110</v>
      </c>
      <c r="N74" s="296">
        <v>125</v>
      </c>
      <c r="O74" s="296">
        <v>135</v>
      </c>
      <c r="P74" s="296">
        <v>155</v>
      </c>
      <c r="Q74" s="296">
        <v>190</v>
      </c>
      <c r="S74" s="521">
        <f t="shared" si="10"/>
        <v>0.1</v>
      </c>
      <c r="T74" s="521">
        <f t="shared" si="11"/>
        <v>0.13636363636363635</v>
      </c>
      <c r="U74" s="521">
        <f t="shared" si="12"/>
        <v>0.12</v>
      </c>
      <c r="V74" s="521">
        <f t="shared" si="13"/>
        <v>0.18518518518518517</v>
      </c>
      <c r="W74" s="521">
        <f t="shared" si="14"/>
        <v>0.16129032258064516</v>
      </c>
      <c r="X74" s="521">
        <f t="shared" si="15"/>
        <v>0.13157894736842105</v>
      </c>
    </row>
    <row r="75" spans="9:24" hidden="1" outlineLevel="1" x14ac:dyDescent="0.25">
      <c r="S75" s="35"/>
      <c r="T75" s="35"/>
      <c r="U75" s="35"/>
      <c r="V75" s="35"/>
      <c r="W75" s="35"/>
      <c r="X75" s="35"/>
    </row>
    <row r="76" spans="9:24" hidden="1" outlineLevel="1" x14ac:dyDescent="0.25">
      <c r="K76" s="17" t="s">
        <v>1314</v>
      </c>
      <c r="S76" s="35"/>
      <c r="T76" s="35"/>
      <c r="U76" s="35"/>
      <c r="V76" s="35"/>
      <c r="W76" s="35"/>
      <c r="X76" s="35"/>
    </row>
    <row r="77" spans="9:24" hidden="1" outlineLevel="1" x14ac:dyDescent="0.25">
      <c r="I77" s="18">
        <v>1</v>
      </c>
      <c r="L77" s="296">
        <v>50</v>
      </c>
      <c r="M77" s="296">
        <v>67</v>
      </c>
      <c r="N77" s="296">
        <v>80</v>
      </c>
      <c r="O77" s="296">
        <v>95</v>
      </c>
      <c r="P77" s="296">
        <v>107</v>
      </c>
      <c r="Q77" s="296">
        <v>120</v>
      </c>
    </row>
    <row r="78" spans="9:24" hidden="1" outlineLevel="1" x14ac:dyDescent="0.25">
      <c r="I78" s="18">
        <v>2</v>
      </c>
      <c r="L78" s="296">
        <v>45</v>
      </c>
      <c r="M78" s="296">
        <v>49</v>
      </c>
      <c r="N78" s="296">
        <v>63</v>
      </c>
      <c r="O78" s="296">
        <v>67</v>
      </c>
      <c r="P78" s="296">
        <v>79</v>
      </c>
      <c r="Q78" s="296">
        <v>90</v>
      </c>
    </row>
    <row r="79" spans="9:24" hidden="1" outlineLevel="1" x14ac:dyDescent="0.25">
      <c r="I79" s="18">
        <v>3</v>
      </c>
      <c r="L79" s="296">
        <v>45</v>
      </c>
      <c r="M79" s="296">
        <v>49</v>
      </c>
      <c r="N79" s="296">
        <v>60</v>
      </c>
      <c r="O79" s="296">
        <v>69</v>
      </c>
      <c r="P79" s="296">
        <v>75</v>
      </c>
      <c r="Q79" s="296">
        <v>81</v>
      </c>
    </row>
    <row r="80" spans="9:24" hidden="1" outlineLevel="1" x14ac:dyDescent="0.25">
      <c r="I80" s="18">
        <v>4</v>
      </c>
      <c r="L80" s="296">
        <v>45</v>
      </c>
      <c r="M80" s="296">
        <v>49</v>
      </c>
      <c r="N80" s="296">
        <v>67</v>
      </c>
      <c r="O80" s="296">
        <v>74</v>
      </c>
      <c r="P80" s="296">
        <v>81</v>
      </c>
      <c r="Q80" s="296">
        <v>88</v>
      </c>
    </row>
    <row r="81" spans="9:24" hidden="1" outlineLevel="1" x14ac:dyDescent="0.25">
      <c r="I81" s="18">
        <v>5</v>
      </c>
      <c r="L81" s="296">
        <v>45</v>
      </c>
      <c r="M81" s="296">
        <v>49</v>
      </c>
      <c r="N81" s="296">
        <v>67</v>
      </c>
      <c r="O81" s="296">
        <v>74</v>
      </c>
      <c r="P81" s="296">
        <v>81</v>
      </c>
      <c r="Q81" s="296">
        <v>88</v>
      </c>
    </row>
    <row r="82" spans="9:24" hidden="1" outlineLevel="1" x14ac:dyDescent="0.25">
      <c r="I82" s="18">
        <v>6</v>
      </c>
      <c r="L82" s="296">
        <v>51</v>
      </c>
      <c r="M82" s="296">
        <v>56</v>
      </c>
      <c r="N82" s="296">
        <v>67</v>
      </c>
      <c r="O82" s="296">
        <v>67</v>
      </c>
      <c r="P82" s="296">
        <v>81</v>
      </c>
      <c r="Q82" s="296">
        <v>95</v>
      </c>
    </row>
    <row r="83" spans="9:24" hidden="1" outlineLevel="1" x14ac:dyDescent="0.25">
      <c r="I83" s="18">
        <v>7</v>
      </c>
      <c r="L83" s="296">
        <v>51</v>
      </c>
      <c r="M83" s="296">
        <v>56</v>
      </c>
      <c r="N83" s="296">
        <v>69</v>
      </c>
      <c r="O83" s="296">
        <v>69</v>
      </c>
      <c r="P83" s="296">
        <v>88</v>
      </c>
      <c r="Q83" s="296">
        <v>100</v>
      </c>
    </row>
    <row r="84" spans="9:24" hidden="1" outlineLevel="1" x14ac:dyDescent="0.25">
      <c r="I84" s="18">
        <v>8</v>
      </c>
      <c r="L84" s="296">
        <v>51</v>
      </c>
      <c r="M84" s="296">
        <v>67</v>
      </c>
      <c r="N84" s="296">
        <v>80</v>
      </c>
      <c r="O84" s="296">
        <v>80</v>
      </c>
      <c r="P84" s="296">
        <v>106</v>
      </c>
      <c r="Q84" s="296">
        <v>119</v>
      </c>
      <c r="S84" s="436"/>
      <c r="T84" s="436"/>
      <c r="U84" s="436"/>
      <c r="V84" s="436"/>
      <c r="W84" s="436"/>
      <c r="X84" s="436"/>
    </row>
    <row r="85" spans="9:24" hidden="1" outlineLevel="1" x14ac:dyDescent="0.25">
      <c r="I85" s="18">
        <v>9</v>
      </c>
      <c r="L85" s="296">
        <v>80</v>
      </c>
      <c r="M85" s="296">
        <v>87</v>
      </c>
      <c r="N85" s="296">
        <v>100</v>
      </c>
      <c r="O85" s="296">
        <v>100</v>
      </c>
      <c r="P85" s="296">
        <v>141</v>
      </c>
      <c r="Q85" s="296">
        <v>164</v>
      </c>
    </row>
    <row r="86" spans="9:24" hidden="1" outlineLevel="1" x14ac:dyDescent="0.25">
      <c r="L86" s="11"/>
      <c r="M86" s="11"/>
      <c r="N86" s="11"/>
      <c r="O86" s="11"/>
      <c r="P86" s="11"/>
      <c r="Q86" s="11"/>
    </row>
    <row r="87" spans="9:24" hidden="1" outlineLevel="1" x14ac:dyDescent="0.25"/>
  </sheetData>
  <sheetProtection algorithmName="SHA-512" hashValue="4EgnpwNB1cRDbHf9/0ApRkgb+PGwHq1vxORjCU1YgEOyJIbdKv45f6C32cFjNJ3t1B6Yag4RKnY7E7KMrURgeQ==" saltValue="gNM101acd9PfJCB4iR19Ug==" spinCount="100000" sheet="1" objects="1" scenarios="1"/>
  <conditionalFormatting sqref="K9:K11">
    <cfRule type="expression" dxfId="19" priority="1">
      <formula>#REF!="y"</formula>
    </cfRule>
  </conditionalFormatting>
  <pageMargins left="0.25" right="0.25" top="0.75" bottom="0.75" header="0.3" footer="0.3"/>
  <pageSetup scale="52" fitToHeight="0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44741-2D46-4590-92B0-13F2E11D95E8}">
  <sheetPr codeName="Sheet27">
    <outlinePr summaryBelow="0"/>
    <pageSetUpPr fitToPage="1"/>
  </sheetPr>
  <dimension ref="B1:V141"/>
  <sheetViews>
    <sheetView showGridLines="0" zoomScale="90" zoomScaleNormal="90" workbookViewId="0">
      <selection activeCell="K101" sqref="K101"/>
    </sheetView>
  </sheetViews>
  <sheetFormatPr defaultRowHeight="15" outlineLevelRow="1" outlineLevelCol="1" x14ac:dyDescent="0.25"/>
  <cols>
    <col min="1" max="1" width="2.7109375" customWidth="1"/>
    <col min="2" max="3" width="10" hidden="1" customWidth="1" outlineLevel="1"/>
    <col min="4" max="4" width="2.7109375" hidden="1" customWidth="1" outlineLevel="1"/>
    <col min="5" max="6" width="10.85546875" hidden="1" customWidth="1" outlineLevel="1"/>
    <col min="7" max="7" width="2.7109375" hidden="1" customWidth="1" outlineLevel="1"/>
    <col min="8" max="9" width="11.28515625" hidden="1" customWidth="1" outlineLevel="1"/>
    <col min="10" max="10" width="1.7109375" hidden="1" customWidth="1" outlineLevel="1"/>
    <col min="11" max="11" width="26.5703125" customWidth="1" collapsed="1"/>
    <col min="12" max="15" width="16.28515625" customWidth="1"/>
    <col min="16" max="16" width="1.7109375" customWidth="1"/>
    <col min="17" max="20" width="11.85546875" hidden="1" customWidth="1" outlineLevel="1"/>
    <col min="21" max="21" width="17.42578125" hidden="1" customWidth="1" outlineLevel="1"/>
    <col min="22" max="22" width="9.140625" collapsed="1"/>
  </cols>
  <sheetData>
    <row r="1" spans="2:15" ht="9.9499999999999993" customHeight="1" x14ac:dyDescent="0.25"/>
    <row r="2" spans="2:15" ht="21" x14ac:dyDescent="0.35">
      <c r="K2" s="1" t="s">
        <v>633</v>
      </c>
    </row>
    <row r="3" spans="2:15" ht="15.75" x14ac:dyDescent="0.25">
      <c r="K3" s="9" t="s">
        <v>745</v>
      </c>
    </row>
    <row r="5" spans="2:15" x14ac:dyDescent="0.25">
      <c r="B5" s="396" t="s">
        <v>635</v>
      </c>
      <c r="C5" s="400" t="s">
        <v>639</v>
      </c>
      <c r="J5" s="393"/>
      <c r="K5" s="396" t="str">
        <f>_xlfn.CONCAT($B$5,"  ",C5)</f>
        <v>•  Class X (.00004" or .001mm tolerance)</v>
      </c>
    </row>
    <row r="6" spans="2:15" x14ac:dyDescent="0.25">
      <c r="C6" s="400" t="s">
        <v>664</v>
      </c>
      <c r="K6" s="396" t="str">
        <f>_xlfn.CONCAT($B$5,"  ",C6)</f>
        <v>•  Go (Plus), NoGo (Minus), or Master (Bilateral) tolerance</v>
      </c>
    </row>
    <row r="7" spans="2:15" collapsed="1" x14ac:dyDescent="0.25">
      <c r="C7" s="400" t="s">
        <v>649</v>
      </c>
      <c r="E7" s="34"/>
      <c r="K7" s="396" t="str">
        <f>_xlfn.CONCAT($B$5,"  ",C7)</f>
        <v>•  Go/NoGo assemblies quoted upon request</v>
      </c>
    </row>
    <row r="8" spans="2:15" hidden="1" outlineLevel="1" x14ac:dyDescent="0.25">
      <c r="E8" s="34"/>
      <c r="K8" s="34"/>
    </row>
    <row r="9" spans="2:15" hidden="1" outlineLevel="1" x14ac:dyDescent="0.25">
      <c r="B9" s="540" t="s">
        <v>739</v>
      </c>
      <c r="C9" s="83"/>
      <c r="D9" s="398"/>
      <c r="E9" s="83"/>
      <c r="K9" s="34"/>
    </row>
    <row r="10" spans="2:15" hidden="1" outlineLevel="1" x14ac:dyDescent="0.25">
      <c r="B10" s="540"/>
      <c r="C10" s="83"/>
      <c r="D10" s="398"/>
      <c r="E10" s="83"/>
      <c r="K10" s="34"/>
    </row>
    <row r="11" spans="2:15" hidden="1" outlineLevel="1" x14ac:dyDescent="0.25">
      <c r="E11" s="462">
        <v>25.4</v>
      </c>
      <c r="K11" s="34"/>
    </row>
    <row r="12" spans="2:15" ht="15.75" hidden="1" outlineLevel="1" x14ac:dyDescent="0.25">
      <c r="C12" s="542">
        <v>1E-4</v>
      </c>
      <c r="D12" s="542"/>
      <c r="E12" s="542">
        <v>1E-3</v>
      </c>
      <c r="K12" s="9"/>
    </row>
    <row r="13" spans="2:15" ht="16.5" thickBot="1" x14ac:dyDescent="0.3">
      <c r="C13" s="542"/>
      <c r="D13" s="542"/>
      <c r="E13" s="542"/>
      <c r="K13" s="9"/>
    </row>
    <row r="14" spans="2:15" x14ac:dyDescent="0.25">
      <c r="B14" s="21" t="s">
        <v>624</v>
      </c>
      <c r="C14" s="3"/>
      <c r="E14" s="21" t="s">
        <v>636</v>
      </c>
      <c r="F14" s="5"/>
      <c r="I14" s="5"/>
      <c r="K14" s="592" t="s">
        <v>870</v>
      </c>
      <c r="L14" s="597"/>
      <c r="M14" s="597"/>
      <c r="N14" s="597"/>
      <c r="O14" s="598"/>
    </row>
    <row r="15" spans="2:15" x14ac:dyDescent="0.25">
      <c r="B15" s="20" t="s">
        <v>6</v>
      </c>
      <c r="C15" s="19"/>
      <c r="E15" s="20" t="s">
        <v>7</v>
      </c>
      <c r="F15" s="19"/>
      <c r="I15" s="5"/>
      <c r="K15" s="99" t="s">
        <v>3</v>
      </c>
      <c r="L15" s="203">
        <v>3</v>
      </c>
      <c r="M15" s="203">
        <v>4</v>
      </c>
      <c r="N15" s="203">
        <v>5</v>
      </c>
      <c r="O15" s="219">
        <v>6</v>
      </c>
    </row>
    <row r="16" spans="2:15" x14ac:dyDescent="0.25">
      <c r="B16" s="351">
        <v>1.0999999999999999E-2</v>
      </c>
      <c r="C16" s="541">
        <f>B18-$C$12</f>
        <v>3.09E-2</v>
      </c>
      <c r="E16" s="388">
        <v>0.27900000000000003</v>
      </c>
      <c r="F16" s="390">
        <f>PRODUCT(C16,$E$11)</f>
        <v>0.78486</v>
      </c>
      <c r="I16" s="18">
        <v>1</v>
      </c>
      <c r="K16" s="102" t="str">
        <f>_xlfn.CONCAT(TEXT($B16,"#.000#"),"""","  to  ",TEXT($C16,"#.000#"),"""")</f>
        <v>.011"  to  .0309"</v>
      </c>
      <c r="L16" s="204">
        <f>INDEX($L$40:$O$48,MATCH($I16,$I$40:$I$48,0),MATCH(L$15,$L$37:$O$37,0))</f>
        <v>200</v>
      </c>
      <c r="M16" s="204">
        <f>INDEX($L$40:$O$48,MATCH($I16,$I$40:$I$48,0),MATCH(M$15,$L$37:$O$37,0))</f>
        <v>265</v>
      </c>
      <c r="N16" s="204">
        <f>INDEX($L$40:$O$48,MATCH($I16,$I$40:$I$48,0),MATCH(N$15,$L$37:$O$37,0))</f>
        <v>475</v>
      </c>
      <c r="O16" s="205">
        <f>INDEX($L$40:$O$48,MATCH($I16,$I$40:$I$48,0),MATCH(O$15,$L$37:$O$37,0))</f>
        <v>575</v>
      </c>
    </row>
    <row r="17" spans="2:15" x14ac:dyDescent="0.25">
      <c r="B17" s="5"/>
      <c r="C17" s="4"/>
      <c r="E17" s="389"/>
      <c r="F17" s="389"/>
      <c r="I17" s="18"/>
      <c r="K17" s="206" t="str">
        <f>_xlfn.CONCAT(TEXT($E16,"#.000"),"mm","  to  ",TEXT($F16,"#.000"),"mm")</f>
        <v>.279mm  to  .785mm</v>
      </c>
      <c r="L17" s="207"/>
      <c r="M17" s="207"/>
      <c r="N17" s="207"/>
      <c r="O17" s="208"/>
    </row>
    <row r="18" spans="2:15" x14ac:dyDescent="0.25">
      <c r="B18" s="351">
        <v>3.1E-2</v>
      </c>
      <c r="C18" s="541">
        <f>B20-$C$12</f>
        <v>7.5899999999999995E-2</v>
      </c>
      <c r="E18" s="390">
        <f>F16+$E$12</f>
        <v>0.78586</v>
      </c>
      <c r="F18" s="390">
        <f>PRODUCT(C18,$E$11)</f>
        <v>1.9278599999999997</v>
      </c>
      <c r="I18" s="18">
        <v>2</v>
      </c>
      <c r="K18" s="111" t="str">
        <f>_xlfn.CONCAT(TEXT($B18,"#.000#"),"""","  to  ",TEXT($C18,"#.000#"),"""")</f>
        <v>.031"  to  .0759"</v>
      </c>
      <c r="L18" s="209">
        <f>INDEX($L$40:$O$48,MATCH($I18,$I$40:$I$48,0),MATCH(L$15,$L$37:$O$37,0))</f>
        <v>155</v>
      </c>
      <c r="M18" s="209">
        <f>INDEX($L$40:$O$48,MATCH($I18,$I$40:$I$48,0),MATCH(M$15,$L$37:$O$37,0))</f>
        <v>195</v>
      </c>
      <c r="N18" s="209">
        <f>INDEX($L$40:$O$48,MATCH($I18,$I$40:$I$48,0),MATCH(N$15,$L$37:$O$37,0))</f>
        <v>340</v>
      </c>
      <c r="O18" s="210">
        <f>INDEX($L$40:$O$48,MATCH($I18,$I$40:$I$48,0),MATCH(O$15,$L$37:$O$37,0))</f>
        <v>475</v>
      </c>
    </row>
    <row r="19" spans="2:15" x14ac:dyDescent="0.25">
      <c r="B19" s="351"/>
      <c r="C19" s="351"/>
      <c r="E19" s="390"/>
      <c r="F19" s="389"/>
      <c r="I19" s="18"/>
      <c r="K19" s="211" t="str">
        <f>_xlfn.CONCAT(TEXT($E18,"#.000"),"mm","  to  ",TEXT($F18,"#.000"),"mm")</f>
        <v>.786mm  to  1.928mm</v>
      </c>
      <c r="L19" s="212"/>
      <c r="M19" s="212"/>
      <c r="N19" s="212"/>
      <c r="O19" s="213"/>
    </row>
    <row r="20" spans="2:15" x14ac:dyDescent="0.25">
      <c r="B20" s="351">
        <v>7.5999999999999998E-2</v>
      </c>
      <c r="C20" s="541">
        <f>B22-$C$12</f>
        <v>0.18090000000000001</v>
      </c>
      <c r="E20" s="390">
        <f>F18+$E$12</f>
        <v>1.9288599999999996</v>
      </c>
      <c r="F20" s="390">
        <f>PRODUCT(C20,$E$11)</f>
        <v>4.5948599999999997</v>
      </c>
      <c r="I20" s="18">
        <v>3</v>
      </c>
      <c r="K20" s="102" t="str">
        <f>_xlfn.CONCAT(TEXT($B20,"#.000#"),"""","  to  ",TEXT($C20,"#.000#"),"""")</f>
        <v>.076"  to  .1809"</v>
      </c>
      <c r="L20" s="214">
        <f>INDEX($L$40:$O$48,MATCH($I20,$I$40:$I$48,0),MATCH(L$15,$L$37:$O$37,0))</f>
        <v>115</v>
      </c>
      <c r="M20" s="214">
        <f>INDEX($L$40:$O$48,MATCH($I20,$I$40:$I$48,0),MATCH(M$15,$L$37:$O$37,0))</f>
        <v>140</v>
      </c>
      <c r="N20" s="214">
        <f>INDEX($L$40:$O$48,MATCH($I20,$I$40:$I$48,0),MATCH(N$15,$L$37:$O$37,0))</f>
        <v>190</v>
      </c>
      <c r="O20" s="215">
        <f>INDEX($L$40:$O$48,MATCH($I20,$I$40:$I$48,0),MATCH(O$15,$L$37:$O$37,0))</f>
        <v>260</v>
      </c>
    </row>
    <row r="21" spans="2:15" x14ac:dyDescent="0.25">
      <c r="B21" s="351"/>
      <c r="C21" s="351"/>
      <c r="E21" s="390"/>
      <c r="F21" s="389"/>
      <c r="I21" s="18"/>
      <c r="K21" s="206" t="str">
        <f>_xlfn.CONCAT(TEXT($E20,"#.000"),"mm","  to  ",TEXT($F20,"#.000"),"mm")</f>
        <v>1.929mm  to  4.595mm</v>
      </c>
      <c r="L21" s="207"/>
      <c r="M21" s="207"/>
      <c r="N21" s="207"/>
      <c r="O21" s="208"/>
    </row>
    <row r="22" spans="2:15" x14ac:dyDescent="0.25">
      <c r="B22" s="351">
        <v>0.18099999999999999</v>
      </c>
      <c r="C22" s="541">
        <f>B24-$C$12</f>
        <v>0.28189999999999998</v>
      </c>
      <c r="E22" s="390">
        <f>F20+$E$12</f>
        <v>4.5958600000000001</v>
      </c>
      <c r="F22" s="390">
        <f>PRODUCT(C22,$E$11)</f>
        <v>7.1602599999999992</v>
      </c>
      <c r="I22" s="18">
        <v>4</v>
      </c>
      <c r="K22" s="111" t="str">
        <f>_xlfn.CONCAT(TEXT($B22,"#.000#"),"""","  to  ",TEXT($C22,"#.000#"),"""")</f>
        <v>.181"  to  .2819"</v>
      </c>
      <c r="L22" s="209">
        <f>INDEX($L$40:$O$48,MATCH($I22,$I$40:$I$48,0),MATCH(L$15,$L$37:$O$37,0))</f>
        <v>105</v>
      </c>
      <c r="M22" s="209">
        <f>INDEX($L$40:$O$48,MATCH($I22,$I$40:$I$48,0),MATCH(M$15,$L$37:$O$37,0))</f>
        <v>130</v>
      </c>
      <c r="N22" s="209">
        <f>INDEX($L$40:$O$48,MATCH($I22,$I$40:$I$48,0),MATCH(N$15,$L$37:$O$37,0))</f>
        <v>170</v>
      </c>
      <c r="O22" s="210">
        <f>INDEX($L$40:$O$48,MATCH($I22,$I$40:$I$48,0),MATCH(O$15,$L$37:$O$37,0))</f>
        <v>210</v>
      </c>
    </row>
    <row r="23" spans="2:15" x14ac:dyDescent="0.25">
      <c r="B23" s="351"/>
      <c r="C23" s="351"/>
      <c r="E23" s="390"/>
      <c r="F23" s="389"/>
      <c r="I23" s="18"/>
      <c r="K23" s="211" t="str">
        <f>_xlfn.CONCAT(TEXT($E22,"#.000"),"mm","  to  ",TEXT($F22,"#.000"),"mm")</f>
        <v>4.596mm  to  7.160mm</v>
      </c>
      <c r="L23" s="212"/>
      <c r="M23" s="212"/>
      <c r="N23" s="212"/>
      <c r="O23" s="213"/>
    </row>
    <row r="24" spans="2:15" x14ac:dyDescent="0.25">
      <c r="B24" s="351">
        <v>0.28199999999999997</v>
      </c>
      <c r="C24" s="541">
        <f>B26-$C$12</f>
        <v>0.40689999999999998</v>
      </c>
      <c r="E24" s="390">
        <f>F22+$E$12</f>
        <v>7.1612599999999995</v>
      </c>
      <c r="F24" s="390">
        <f>PRODUCT(C24,$E$11)</f>
        <v>10.33526</v>
      </c>
      <c r="I24" s="18">
        <v>5</v>
      </c>
      <c r="K24" s="102" t="str">
        <f>_xlfn.CONCAT(TEXT($B24,"#.000#"),"""","  to  ",TEXT($C24,"#.000#"),"""")</f>
        <v>.282"  to  .4069"</v>
      </c>
      <c r="L24" s="214">
        <f>INDEX($L$40:$O$48,MATCH($I24,$I$40:$I$48,0),MATCH(L$15,$L$37:$O$37,0))</f>
        <v>120</v>
      </c>
      <c r="M24" s="214">
        <f>INDEX($L$40:$O$48,MATCH($I24,$I$40:$I$48,0),MATCH(M$15,$L$37:$O$37,0))</f>
        <v>145</v>
      </c>
      <c r="N24" s="214">
        <f>INDEX($L$40:$O$48,MATCH($I24,$I$40:$I$48,0),MATCH(N$15,$L$37:$O$37,0))</f>
        <v>185</v>
      </c>
      <c r="O24" s="215">
        <f>INDEX($L$40:$O$48,MATCH($I24,$I$40:$I$48,0),MATCH(O$15,$L$37:$O$37,0))</f>
        <v>225</v>
      </c>
    </row>
    <row r="25" spans="2:15" x14ac:dyDescent="0.25">
      <c r="B25" s="351"/>
      <c r="C25" s="351"/>
      <c r="E25" s="390"/>
      <c r="F25" s="389"/>
      <c r="I25" s="18"/>
      <c r="K25" s="206" t="str">
        <f>_xlfn.CONCAT(TEXT($E24,"#.000"),"mm","  to  ",TEXT($F24,"#.000"),"mm")</f>
        <v>7.161mm  to  10.335mm</v>
      </c>
      <c r="L25" s="207"/>
      <c r="M25" s="207"/>
      <c r="N25" s="207"/>
      <c r="O25" s="208"/>
    </row>
    <row r="26" spans="2:15" x14ac:dyDescent="0.25">
      <c r="B26" s="351">
        <v>0.40699999999999997</v>
      </c>
      <c r="C26" s="541">
        <f>B28-$C$12</f>
        <v>0.51090000000000002</v>
      </c>
      <c r="E26" s="390">
        <f>F24+$E$12</f>
        <v>10.336259999999999</v>
      </c>
      <c r="F26" s="390">
        <f>PRODUCT(C26,$E$11)</f>
        <v>12.97686</v>
      </c>
      <c r="I26" s="18">
        <v>6</v>
      </c>
      <c r="K26" s="111" t="str">
        <f>_xlfn.CONCAT(TEXT($B26,"#.000#"),"""","  to  ",TEXT($C26,"#.000#"),"""")</f>
        <v>.407"  to  .5109"</v>
      </c>
      <c r="L26" s="209">
        <f>INDEX($L$40:$O$48,MATCH($I26,$I$40:$I$48,0),MATCH(L$15,$L$37:$O$37,0))</f>
        <v>130</v>
      </c>
      <c r="M26" s="209">
        <f>INDEX($L$40:$O$48,MATCH($I26,$I$40:$I$48,0),MATCH(M$15,$L$37:$O$37,0))</f>
        <v>165</v>
      </c>
      <c r="N26" s="209">
        <f>INDEX($L$40:$O$48,MATCH($I26,$I$40:$I$48,0),MATCH(N$15,$L$37:$O$37,0))</f>
        <v>195</v>
      </c>
      <c r="O26" s="210">
        <f>INDEX($L$40:$O$48,MATCH($I26,$I$40:$I$48,0),MATCH(O$15,$L$37:$O$37,0))</f>
        <v>245</v>
      </c>
    </row>
    <row r="27" spans="2:15" x14ac:dyDescent="0.25">
      <c r="B27" s="351"/>
      <c r="C27" s="351"/>
      <c r="E27" s="390"/>
      <c r="F27" s="389"/>
      <c r="I27" s="18"/>
      <c r="K27" s="211" t="str">
        <f>_xlfn.CONCAT(TEXT($E26,"#.000"),"mm","  to  ",TEXT($F26,"#.000"),"mm")</f>
        <v>10.336mm  to  12.977mm</v>
      </c>
      <c r="L27" s="212"/>
      <c r="M27" s="212"/>
      <c r="N27" s="212"/>
      <c r="O27" s="213"/>
    </row>
    <row r="28" spans="2:15" x14ac:dyDescent="0.25">
      <c r="B28" s="351">
        <v>0.51100000000000001</v>
      </c>
      <c r="C28" s="541">
        <f>B30-$C$12</f>
        <v>0.63590000000000002</v>
      </c>
      <c r="E28" s="390">
        <f>F26+$E$12</f>
        <v>12.97786</v>
      </c>
      <c r="F28" s="390">
        <f>PRODUCT(C28,$E$11)</f>
        <v>16.151859999999999</v>
      </c>
      <c r="I28" s="18">
        <v>7</v>
      </c>
      <c r="K28" s="102" t="str">
        <f>_xlfn.CONCAT(TEXT($B28,"#.000#"),"""","  to  ",TEXT($C28,"#.000#"),"""")</f>
        <v>.511"  to  .6359"</v>
      </c>
      <c r="L28" s="214">
        <f>INDEX($L$40:$O$48,MATCH($I28,$I$40:$I$48,0),MATCH(L$15,$L$37:$O$37,0))</f>
        <v>150</v>
      </c>
      <c r="M28" s="214">
        <f>INDEX($L$40:$O$48,MATCH($I28,$I$40:$I$48,0),MATCH(M$15,$L$37:$O$37,0))</f>
        <v>185</v>
      </c>
      <c r="N28" s="214">
        <f>INDEX($L$40:$O$48,MATCH($I28,$I$40:$I$48,0),MATCH(N$15,$L$37:$O$37,0))</f>
        <v>235</v>
      </c>
      <c r="O28" s="215">
        <f>INDEX($L$40:$O$48,MATCH($I28,$I$40:$I$48,0),MATCH(O$15,$L$37:$O$37,0))</f>
        <v>255</v>
      </c>
    </row>
    <row r="29" spans="2:15" x14ac:dyDescent="0.25">
      <c r="B29" s="351"/>
      <c r="C29" s="351"/>
      <c r="E29" s="390"/>
      <c r="F29" s="389"/>
      <c r="I29" s="18"/>
      <c r="K29" s="206" t="str">
        <f>_xlfn.CONCAT(TEXT($E28,"#.000"),"mm","  to  ",TEXT($F28,"#.000"),"mm")</f>
        <v>12.978mm  to  16.152mm</v>
      </c>
      <c r="L29" s="207"/>
      <c r="M29" s="207"/>
      <c r="N29" s="207"/>
      <c r="O29" s="208"/>
    </row>
    <row r="30" spans="2:15" x14ac:dyDescent="0.25">
      <c r="B30" s="351">
        <v>0.63600000000000001</v>
      </c>
      <c r="C30" s="541">
        <f>B32-$C$12</f>
        <v>0.76090000000000002</v>
      </c>
      <c r="E30" s="390">
        <f>F28+$E$12</f>
        <v>16.15286</v>
      </c>
      <c r="F30" s="390">
        <f>PRODUCT(C30,$E$11)</f>
        <v>19.32686</v>
      </c>
      <c r="I30" s="18">
        <v>8</v>
      </c>
      <c r="K30" s="111" t="str">
        <f>_xlfn.CONCAT(TEXT($B30,"#.000#"),"""","  to  ",TEXT($C30,"#.000#"),"""")</f>
        <v>.636"  to  .7609"</v>
      </c>
      <c r="L30" s="209">
        <f>INDEX($L$40:$O$48,MATCH($I30,$I$40:$I$48,0),MATCH(L$15,$L$37:$O$37,0))</f>
        <v>160</v>
      </c>
      <c r="M30" s="209">
        <f>INDEX($L$40:$O$48,MATCH($I30,$I$40:$I$48,0),MATCH(M$15,$L$37:$O$37,0))</f>
        <v>190</v>
      </c>
      <c r="N30" s="209">
        <f>INDEX($L$40:$O$48,MATCH($I30,$I$40:$I$48,0),MATCH(N$15,$L$37:$O$37,0))</f>
        <v>250</v>
      </c>
      <c r="O30" s="210">
        <f>INDEX($L$40:$O$48,MATCH($I30,$I$40:$I$48,0),MATCH(O$15,$L$37:$O$37,0))</f>
        <v>275</v>
      </c>
    </row>
    <row r="31" spans="2:15" x14ac:dyDescent="0.25">
      <c r="B31" s="351"/>
      <c r="C31" s="351"/>
      <c r="E31" s="390"/>
      <c r="F31" s="389"/>
      <c r="I31" s="18"/>
      <c r="K31" s="211" t="str">
        <f>_xlfn.CONCAT(TEXT($E30,"#.000"),"mm","  to  ",TEXT($F30,"#.000"),"mm")</f>
        <v>16.153mm  to  19.327mm</v>
      </c>
      <c r="L31" s="212"/>
      <c r="M31" s="212"/>
      <c r="N31" s="212"/>
      <c r="O31" s="213"/>
    </row>
    <row r="32" spans="2:15" x14ac:dyDescent="0.25">
      <c r="B32" s="351">
        <v>0.76100000000000001</v>
      </c>
      <c r="C32" s="351">
        <v>1.01</v>
      </c>
      <c r="E32" s="390">
        <f>F30+$E$12</f>
        <v>19.327860000000001</v>
      </c>
      <c r="F32" s="458">
        <v>25.654</v>
      </c>
      <c r="I32" s="18">
        <v>9</v>
      </c>
      <c r="K32" s="102" t="str">
        <f>_xlfn.CONCAT(TEXT($B32,"#.000#"),"""","  to  ",TEXT($C32,"#.000#"),"""")</f>
        <v>.761"  to  1.010"</v>
      </c>
      <c r="L32" s="214">
        <f>INDEX($L$40:$O$48,MATCH($I32,$I$40:$I$48,0),MATCH(L$15,$L$37:$O$37,0))</f>
        <v>185</v>
      </c>
      <c r="M32" s="214">
        <f>INDEX($L$40:$O$48,MATCH($I32,$I$40:$I$48,0),MATCH(M$15,$L$37:$O$37,0))</f>
        <v>235</v>
      </c>
      <c r="N32" s="214">
        <f>INDEX($L$40:$O$48,MATCH($I32,$I$40:$I$48,0),MATCH(N$15,$L$37:$O$37,0))</f>
        <v>290</v>
      </c>
      <c r="O32" s="215">
        <f>INDEX($L$40:$O$48,MATCH($I32,$I$40:$I$48,0),MATCH(O$15,$L$37:$O$37,0))</f>
        <v>340</v>
      </c>
    </row>
    <row r="33" spans="5:20" ht="15.75" thickBot="1" x14ac:dyDescent="0.3">
      <c r="E33" s="36"/>
      <c r="F33" s="36"/>
      <c r="I33" s="18"/>
      <c r="K33" s="216" t="str">
        <f>_xlfn.CONCAT(TEXT($E32,"#.000"),"mm","  to  ",TEXT($F32,"#.000"),"mm")</f>
        <v>19.328mm  to  25.654mm</v>
      </c>
      <c r="L33" s="217"/>
      <c r="M33" s="217"/>
      <c r="N33" s="217"/>
      <c r="O33" s="218"/>
    </row>
    <row r="34" spans="5:20" x14ac:dyDescent="0.25">
      <c r="I34" s="13"/>
    </row>
    <row r="35" spans="5:20" x14ac:dyDescent="0.25">
      <c r="I35" s="13"/>
      <c r="K35" s="17" t="s">
        <v>957</v>
      </c>
    </row>
    <row r="36" spans="5:20" collapsed="1" x14ac:dyDescent="0.25"/>
    <row r="37" spans="5:20" hidden="1" outlineLevel="1" x14ac:dyDescent="0.25">
      <c r="L37" s="469">
        <v>3</v>
      </c>
      <c r="M37" s="469">
        <v>4</v>
      </c>
      <c r="N37" s="469">
        <v>5</v>
      </c>
      <c r="O37" s="469">
        <v>6</v>
      </c>
      <c r="Q37" s="469">
        <v>3</v>
      </c>
      <c r="R37" s="469">
        <v>4</v>
      </c>
      <c r="S37" s="469">
        <v>5</v>
      </c>
      <c r="T37" s="469">
        <v>6</v>
      </c>
    </row>
    <row r="38" spans="5:20" hidden="1" outlineLevel="1" x14ac:dyDescent="0.25">
      <c r="L38" s="470"/>
      <c r="M38" s="470"/>
      <c r="N38" s="470"/>
      <c r="O38" s="470"/>
    </row>
    <row r="39" spans="5:20" hidden="1" outlineLevel="1" x14ac:dyDescent="0.25">
      <c r="K39" s="17"/>
    </row>
    <row r="40" spans="5:20" hidden="1" outlineLevel="1" x14ac:dyDescent="0.25">
      <c r="F40" s="528"/>
      <c r="I40" s="470">
        <v>1</v>
      </c>
      <c r="L40" s="529">
        <f t="shared" ref="L40:O48" si="0">MROUND(PRODUCT(L51,(1+INDEX($Q$51:$T$59,MATCH($I40,$I$51:$I$59,0),MATCH(L$37,$Q$37:$T$37,0)))),5)</f>
        <v>200</v>
      </c>
      <c r="M40" s="529">
        <f t="shared" si="0"/>
        <v>265</v>
      </c>
      <c r="N40" s="529">
        <f t="shared" si="0"/>
        <v>475</v>
      </c>
      <c r="O40" s="529">
        <f t="shared" si="0"/>
        <v>575</v>
      </c>
    </row>
    <row r="41" spans="5:20" hidden="1" outlineLevel="1" x14ac:dyDescent="0.25">
      <c r="F41" s="528"/>
      <c r="I41" s="470">
        <v>2</v>
      </c>
      <c r="L41" s="529">
        <f t="shared" si="0"/>
        <v>155</v>
      </c>
      <c r="M41" s="529">
        <f t="shared" si="0"/>
        <v>195</v>
      </c>
      <c r="N41" s="529">
        <f t="shared" si="0"/>
        <v>340</v>
      </c>
      <c r="O41" s="529">
        <f t="shared" si="0"/>
        <v>475</v>
      </c>
    </row>
    <row r="42" spans="5:20" hidden="1" outlineLevel="1" x14ac:dyDescent="0.25">
      <c r="F42" s="528"/>
      <c r="I42" s="470">
        <v>3</v>
      </c>
      <c r="L42" s="529">
        <f t="shared" si="0"/>
        <v>115</v>
      </c>
      <c r="M42" s="529">
        <f t="shared" si="0"/>
        <v>140</v>
      </c>
      <c r="N42" s="529">
        <f t="shared" si="0"/>
        <v>190</v>
      </c>
      <c r="O42" s="529">
        <f t="shared" si="0"/>
        <v>260</v>
      </c>
    </row>
    <row r="43" spans="5:20" hidden="1" outlineLevel="1" x14ac:dyDescent="0.25">
      <c r="F43" s="528"/>
      <c r="I43" s="470">
        <v>4</v>
      </c>
      <c r="L43" s="529">
        <f t="shared" si="0"/>
        <v>105</v>
      </c>
      <c r="M43" s="529">
        <f t="shared" si="0"/>
        <v>130</v>
      </c>
      <c r="N43" s="529">
        <f t="shared" si="0"/>
        <v>170</v>
      </c>
      <c r="O43" s="529">
        <f t="shared" si="0"/>
        <v>210</v>
      </c>
    </row>
    <row r="44" spans="5:20" hidden="1" outlineLevel="1" x14ac:dyDescent="0.25">
      <c r="F44" s="528"/>
      <c r="I44" s="470">
        <v>5</v>
      </c>
      <c r="L44" s="529">
        <f t="shared" si="0"/>
        <v>120</v>
      </c>
      <c r="M44" s="529">
        <f t="shared" si="0"/>
        <v>145</v>
      </c>
      <c r="N44" s="529">
        <f t="shared" si="0"/>
        <v>185</v>
      </c>
      <c r="O44" s="529">
        <f t="shared" si="0"/>
        <v>225</v>
      </c>
    </row>
    <row r="45" spans="5:20" hidden="1" outlineLevel="1" x14ac:dyDescent="0.25">
      <c r="F45" s="528"/>
      <c r="I45" s="470">
        <v>6</v>
      </c>
      <c r="L45" s="529">
        <f t="shared" si="0"/>
        <v>130</v>
      </c>
      <c r="M45" s="529">
        <f t="shared" si="0"/>
        <v>165</v>
      </c>
      <c r="N45" s="529">
        <f t="shared" si="0"/>
        <v>195</v>
      </c>
      <c r="O45" s="529">
        <f t="shared" si="0"/>
        <v>245</v>
      </c>
    </row>
    <row r="46" spans="5:20" hidden="1" outlineLevel="1" x14ac:dyDescent="0.25">
      <c r="F46" s="528"/>
      <c r="I46" s="470">
        <v>7</v>
      </c>
      <c r="L46" s="529">
        <f t="shared" si="0"/>
        <v>150</v>
      </c>
      <c r="M46" s="529">
        <f t="shared" si="0"/>
        <v>185</v>
      </c>
      <c r="N46" s="529">
        <f t="shared" si="0"/>
        <v>235</v>
      </c>
      <c r="O46" s="529">
        <f t="shared" si="0"/>
        <v>255</v>
      </c>
    </row>
    <row r="47" spans="5:20" hidden="1" outlineLevel="1" x14ac:dyDescent="0.25">
      <c r="F47" s="528"/>
      <c r="I47" s="470">
        <v>8</v>
      </c>
      <c r="L47" s="529">
        <f t="shared" si="0"/>
        <v>160</v>
      </c>
      <c r="M47" s="529">
        <f t="shared" si="0"/>
        <v>190</v>
      </c>
      <c r="N47" s="529">
        <f t="shared" si="0"/>
        <v>250</v>
      </c>
      <c r="O47" s="529">
        <f t="shared" si="0"/>
        <v>275</v>
      </c>
    </row>
    <row r="48" spans="5:20" ht="13.5" hidden="1" customHeight="1" outlineLevel="1" x14ac:dyDescent="0.25">
      <c r="F48" s="528"/>
      <c r="I48" s="470">
        <v>9</v>
      </c>
      <c r="L48" s="529">
        <f t="shared" si="0"/>
        <v>185</v>
      </c>
      <c r="M48" s="529">
        <f t="shared" si="0"/>
        <v>235</v>
      </c>
      <c r="N48" s="529">
        <f t="shared" si="0"/>
        <v>290</v>
      </c>
      <c r="O48" s="529">
        <f t="shared" si="0"/>
        <v>340</v>
      </c>
    </row>
    <row r="49" spans="9:20" hidden="1" outlineLevel="1" x14ac:dyDescent="0.25">
      <c r="L49" s="470"/>
      <c r="M49" s="470"/>
      <c r="N49" s="470"/>
      <c r="O49" s="470"/>
    </row>
    <row r="50" spans="9:20" hidden="1" outlineLevel="1" x14ac:dyDescent="0.25">
      <c r="K50" s="17" t="s">
        <v>1315</v>
      </c>
    </row>
    <row r="51" spans="9:20" hidden="1" outlineLevel="1" x14ac:dyDescent="0.25">
      <c r="I51" s="18">
        <v>1</v>
      </c>
      <c r="L51" s="296">
        <v>165</v>
      </c>
      <c r="M51" s="296">
        <v>225</v>
      </c>
      <c r="N51" s="296">
        <v>350</v>
      </c>
      <c r="O51" s="296">
        <v>425</v>
      </c>
      <c r="Q51" s="528">
        <v>0.2</v>
      </c>
      <c r="R51" s="528">
        <v>0.18</v>
      </c>
      <c r="S51" s="528">
        <v>0.35</v>
      </c>
      <c r="T51" s="528">
        <v>0.35</v>
      </c>
    </row>
    <row r="52" spans="9:20" hidden="1" outlineLevel="1" x14ac:dyDescent="0.25">
      <c r="I52" s="18">
        <v>2</v>
      </c>
      <c r="L52" s="296">
        <v>140</v>
      </c>
      <c r="M52" s="296">
        <v>175</v>
      </c>
      <c r="N52" s="296">
        <v>250</v>
      </c>
      <c r="O52" s="296">
        <v>350</v>
      </c>
      <c r="Q52" s="528">
        <v>0.1</v>
      </c>
      <c r="R52" s="528">
        <v>0.1</v>
      </c>
      <c r="S52" s="528">
        <v>0.35</v>
      </c>
      <c r="T52" s="528">
        <v>0.35</v>
      </c>
    </row>
    <row r="53" spans="9:20" hidden="1" outlineLevel="1" x14ac:dyDescent="0.25">
      <c r="I53" s="18">
        <v>3</v>
      </c>
      <c r="L53" s="296">
        <v>110</v>
      </c>
      <c r="M53" s="296">
        <v>135</v>
      </c>
      <c r="N53" s="296">
        <v>180</v>
      </c>
      <c r="O53" s="296">
        <v>235</v>
      </c>
      <c r="Q53" s="528">
        <v>0.05</v>
      </c>
      <c r="R53" s="528">
        <v>0.05</v>
      </c>
      <c r="S53" s="528">
        <v>0.05</v>
      </c>
      <c r="T53" s="528">
        <v>0.1</v>
      </c>
    </row>
    <row r="54" spans="9:20" hidden="1" outlineLevel="1" x14ac:dyDescent="0.25">
      <c r="I54" s="18">
        <v>4</v>
      </c>
      <c r="L54" s="296">
        <v>100</v>
      </c>
      <c r="M54" s="296">
        <v>125</v>
      </c>
      <c r="N54" s="296">
        <v>160</v>
      </c>
      <c r="O54" s="296">
        <v>200</v>
      </c>
      <c r="Q54" s="528">
        <v>0.05</v>
      </c>
      <c r="R54" s="528">
        <v>0.05</v>
      </c>
      <c r="S54" s="528">
        <v>0.05</v>
      </c>
      <c r="T54" s="528">
        <v>0.05</v>
      </c>
    </row>
    <row r="55" spans="9:20" hidden="1" outlineLevel="1" x14ac:dyDescent="0.25">
      <c r="I55" s="18">
        <v>5</v>
      </c>
      <c r="L55" s="296">
        <v>115</v>
      </c>
      <c r="M55" s="296">
        <v>140</v>
      </c>
      <c r="N55" s="296">
        <v>175</v>
      </c>
      <c r="O55" s="296">
        <v>215</v>
      </c>
      <c r="Q55" s="528">
        <v>0.05</v>
      </c>
      <c r="R55" s="528">
        <v>0.05</v>
      </c>
      <c r="S55" s="528">
        <v>0.05</v>
      </c>
      <c r="T55" s="528">
        <v>0.05</v>
      </c>
    </row>
    <row r="56" spans="9:20" hidden="1" outlineLevel="1" x14ac:dyDescent="0.25">
      <c r="I56" s="18">
        <v>6</v>
      </c>
      <c r="L56" s="296">
        <v>125</v>
      </c>
      <c r="M56" s="296">
        <v>155</v>
      </c>
      <c r="N56" s="296">
        <v>185</v>
      </c>
      <c r="O56" s="296">
        <v>235</v>
      </c>
      <c r="Q56" s="528">
        <v>0.05</v>
      </c>
      <c r="R56" s="528">
        <v>0.05</v>
      </c>
      <c r="S56" s="528">
        <v>0.05</v>
      </c>
      <c r="T56" s="528">
        <v>0.05</v>
      </c>
    </row>
    <row r="57" spans="9:20" hidden="1" outlineLevel="1" x14ac:dyDescent="0.25">
      <c r="I57" s="18">
        <v>7</v>
      </c>
      <c r="L57" s="296">
        <v>145</v>
      </c>
      <c r="M57" s="296">
        <v>175</v>
      </c>
      <c r="N57" s="296">
        <v>225</v>
      </c>
      <c r="O57" s="296">
        <v>245</v>
      </c>
      <c r="Q57" s="528">
        <v>0.05</v>
      </c>
      <c r="R57" s="528">
        <v>0.05</v>
      </c>
      <c r="S57" s="528">
        <v>0.05</v>
      </c>
      <c r="T57" s="528">
        <v>0.05</v>
      </c>
    </row>
    <row r="58" spans="9:20" hidden="1" outlineLevel="1" x14ac:dyDescent="0.25">
      <c r="I58" s="18">
        <v>8</v>
      </c>
      <c r="L58" s="296">
        <v>160</v>
      </c>
      <c r="M58" s="296">
        <v>190</v>
      </c>
      <c r="N58" s="296">
        <v>250</v>
      </c>
      <c r="O58" s="296">
        <v>275</v>
      </c>
      <c r="Q58" s="528">
        <v>0</v>
      </c>
      <c r="R58" s="528">
        <v>0</v>
      </c>
      <c r="S58" s="528">
        <v>0</v>
      </c>
      <c r="T58" s="528">
        <v>0</v>
      </c>
    </row>
    <row r="59" spans="9:20" hidden="1" outlineLevel="1" x14ac:dyDescent="0.25">
      <c r="I59" s="18">
        <v>9</v>
      </c>
      <c r="L59" s="296">
        <v>175</v>
      </c>
      <c r="M59" s="296">
        <v>225</v>
      </c>
      <c r="N59" s="296">
        <v>275</v>
      </c>
      <c r="O59" s="296">
        <v>325</v>
      </c>
      <c r="Q59" s="528">
        <v>0.05</v>
      </c>
      <c r="R59" s="528">
        <v>0.05</v>
      </c>
      <c r="S59" s="528">
        <v>0.05</v>
      </c>
      <c r="T59" s="528">
        <v>0.05</v>
      </c>
    </row>
    <row r="60" spans="9:20" hidden="1" outlineLevel="1" x14ac:dyDescent="0.25">
      <c r="L60" s="470"/>
      <c r="M60" s="470"/>
      <c r="N60" s="470"/>
      <c r="O60" s="470"/>
    </row>
    <row r="61" spans="9:20" hidden="1" outlineLevel="1" x14ac:dyDescent="0.25">
      <c r="K61" s="17" t="s">
        <v>1312</v>
      </c>
      <c r="L61" s="470"/>
      <c r="M61" s="470"/>
      <c r="N61" s="470"/>
      <c r="O61" s="470"/>
    </row>
    <row r="62" spans="9:20" hidden="1" outlineLevel="1" x14ac:dyDescent="0.25">
      <c r="I62" s="470">
        <v>1</v>
      </c>
      <c r="L62" s="296">
        <v>165</v>
      </c>
      <c r="M62" s="296">
        <v>225</v>
      </c>
      <c r="N62" s="296">
        <v>475</v>
      </c>
      <c r="O62" s="296">
        <v>550</v>
      </c>
      <c r="Q62" s="543">
        <f t="shared" ref="Q62:Q70" si="1">((L40-L62)/L62)</f>
        <v>0.21212121212121213</v>
      </c>
      <c r="R62" s="543">
        <f t="shared" ref="R62:R70" si="2">((M40-M62)/M62)</f>
        <v>0.17777777777777778</v>
      </c>
      <c r="S62" s="543">
        <f t="shared" ref="S62:S70" si="3">((N40-N62)/N62)</f>
        <v>0</v>
      </c>
      <c r="T62" s="543">
        <f t="shared" ref="T62:T70" si="4">((O40-O62)/O62)</f>
        <v>4.5454545454545456E-2</v>
      </c>
    </row>
    <row r="63" spans="9:20" hidden="1" outlineLevel="1" x14ac:dyDescent="0.25">
      <c r="I63" s="470">
        <v>2</v>
      </c>
      <c r="L63" s="296">
        <v>100</v>
      </c>
      <c r="M63" s="296">
        <v>125</v>
      </c>
      <c r="N63" s="296">
        <v>200</v>
      </c>
      <c r="O63" s="296">
        <v>385</v>
      </c>
      <c r="Q63" s="543">
        <f t="shared" si="1"/>
        <v>0.55000000000000004</v>
      </c>
      <c r="R63" s="543">
        <f t="shared" si="2"/>
        <v>0.56000000000000005</v>
      </c>
      <c r="S63" s="543">
        <f t="shared" si="3"/>
        <v>0.7</v>
      </c>
      <c r="T63" s="543">
        <f t="shared" si="4"/>
        <v>0.23376623376623376</v>
      </c>
    </row>
    <row r="64" spans="9:20" hidden="1" outlineLevel="1" x14ac:dyDescent="0.25">
      <c r="I64" s="470">
        <v>3</v>
      </c>
      <c r="L64" s="296">
        <v>100</v>
      </c>
      <c r="M64" s="296">
        <v>125</v>
      </c>
      <c r="N64" s="296">
        <v>165</v>
      </c>
      <c r="O64" s="296">
        <v>195</v>
      </c>
      <c r="Q64" s="543">
        <f t="shared" si="1"/>
        <v>0.15</v>
      </c>
      <c r="R64" s="543">
        <f t="shared" si="2"/>
        <v>0.12</v>
      </c>
      <c r="S64" s="543">
        <f t="shared" si="3"/>
        <v>0.15151515151515152</v>
      </c>
      <c r="T64" s="543">
        <f t="shared" si="4"/>
        <v>0.33333333333333331</v>
      </c>
    </row>
    <row r="65" spans="9:20" hidden="1" outlineLevel="1" x14ac:dyDescent="0.25">
      <c r="I65" s="470">
        <v>4</v>
      </c>
      <c r="L65" s="296">
        <v>100</v>
      </c>
      <c r="M65" s="296">
        <v>125</v>
      </c>
      <c r="N65" s="296">
        <v>165</v>
      </c>
      <c r="O65" s="296">
        <v>195</v>
      </c>
      <c r="Q65" s="543">
        <f t="shared" si="1"/>
        <v>0.05</v>
      </c>
      <c r="R65" s="543">
        <f t="shared" si="2"/>
        <v>0.04</v>
      </c>
      <c r="S65" s="543">
        <f t="shared" si="3"/>
        <v>3.0303030303030304E-2</v>
      </c>
      <c r="T65" s="543">
        <f t="shared" si="4"/>
        <v>7.6923076923076927E-2</v>
      </c>
    </row>
    <row r="66" spans="9:20" hidden="1" outlineLevel="1" x14ac:dyDescent="0.25">
      <c r="I66" s="470">
        <v>5</v>
      </c>
      <c r="L66" s="296">
        <v>100</v>
      </c>
      <c r="M66" s="296">
        <v>125</v>
      </c>
      <c r="N66" s="296">
        <v>165</v>
      </c>
      <c r="O66" s="296">
        <v>195</v>
      </c>
      <c r="Q66" s="543">
        <f t="shared" si="1"/>
        <v>0.2</v>
      </c>
      <c r="R66" s="543">
        <f t="shared" si="2"/>
        <v>0.16</v>
      </c>
      <c r="S66" s="543">
        <f t="shared" si="3"/>
        <v>0.12121212121212122</v>
      </c>
      <c r="T66" s="543">
        <f t="shared" si="4"/>
        <v>0.15384615384615385</v>
      </c>
    </row>
    <row r="67" spans="9:20" hidden="1" outlineLevel="1" x14ac:dyDescent="0.25">
      <c r="I67" s="470">
        <v>6</v>
      </c>
      <c r="L67" s="296">
        <v>110</v>
      </c>
      <c r="M67" s="296">
        <v>135</v>
      </c>
      <c r="N67" s="296">
        <v>180</v>
      </c>
      <c r="O67" s="296">
        <v>210</v>
      </c>
      <c r="Q67" s="543">
        <f t="shared" si="1"/>
        <v>0.18181818181818182</v>
      </c>
      <c r="R67" s="543">
        <f t="shared" si="2"/>
        <v>0.22222222222222221</v>
      </c>
      <c r="S67" s="543">
        <f t="shared" si="3"/>
        <v>8.3333333333333329E-2</v>
      </c>
      <c r="T67" s="543">
        <f t="shared" si="4"/>
        <v>0.16666666666666666</v>
      </c>
    </row>
    <row r="68" spans="9:20" hidden="1" outlineLevel="1" x14ac:dyDescent="0.25">
      <c r="I68" s="470">
        <v>7</v>
      </c>
      <c r="L68" s="296">
        <v>110</v>
      </c>
      <c r="M68" s="296">
        <v>135</v>
      </c>
      <c r="N68" s="296">
        <v>185</v>
      </c>
      <c r="O68" s="296">
        <v>225</v>
      </c>
      <c r="Q68" s="543">
        <f t="shared" si="1"/>
        <v>0.36363636363636365</v>
      </c>
      <c r="R68" s="543">
        <f t="shared" si="2"/>
        <v>0.37037037037037035</v>
      </c>
      <c r="S68" s="543">
        <f t="shared" si="3"/>
        <v>0.27027027027027029</v>
      </c>
      <c r="T68" s="543">
        <f t="shared" si="4"/>
        <v>0.13333333333333333</v>
      </c>
    </row>
    <row r="69" spans="9:20" hidden="1" outlineLevel="1" x14ac:dyDescent="0.25">
      <c r="I69" s="470">
        <v>8</v>
      </c>
      <c r="L69" s="296">
        <v>110</v>
      </c>
      <c r="M69" s="296">
        <v>135</v>
      </c>
      <c r="N69" s="296">
        <v>185</v>
      </c>
      <c r="O69" s="296">
        <v>225</v>
      </c>
      <c r="Q69" s="543">
        <f t="shared" si="1"/>
        <v>0.45454545454545453</v>
      </c>
      <c r="R69" s="543">
        <f t="shared" si="2"/>
        <v>0.40740740740740738</v>
      </c>
      <c r="S69" s="543">
        <f t="shared" si="3"/>
        <v>0.35135135135135137</v>
      </c>
      <c r="T69" s="543">
        <f t="shared" si="4"/>
        <v>0.22222222222222221</v>
      </c>
    </row>
    <row r="70" spans="9:20" hidden="1" outlineLevel="1" x14ac:dyDescent="0.25">
      <c r="I70" s="470">
        <v>9</v>
      </c>
      <c r="L70" s="296">
        <v>150</v>
      </c>
      <c r="M70" s="296">
        <v>175</v>
      </c>
      <c r="N70" s="296">
        <v>250</v>
      </c>
      <c r="O70" s="296">
        <v>325</v>
      </c>
      <c r="Q70" s="543">
        <f t="shared" si="1"/>
        <v>0.23333333333333334</v>
      </c>
      <c r="R70" s="543">
        <f t="shared" si="2"/>
        <v>0.34285714285714286</v>
      </c>
      <c r="S70" s="543">
        <f t="shared" si="3"/>
        <v>0.16</v>
      </c>
      <c r="T70" s="543">
        <f t="shared" si="4"/>
        <v>4.6153846153846156E-2</v>
      </c>
    </row>
    <row r="71" spans="9:20" hidden="1" outlineLevel="1" x14ac:dyDescent="0.25">
      <c r="I71" s="18"/>
      <c r="L71" s="296"/>
      <c r="M71" s="296"/>
      <c r="N71" s="296"/>
      <c r="O71" s="296"/>
    </row>
    <row r="72" spans="9:20" hidden="1" outlineLevel="1" x14ac:dyDescent="0.25">
      <c r="K72" s="17" t="s">
        <v>1313</v>
      </c>
      <c r="L72" s="296"/>
      <c r="M72" s="296"/>
      <c r="N72" s="296"/>
      <c r="O72" s="296"/>
    </row>
    <row r="73" spans="9:20" hidden="1" outlineLevel="1" x14ac:dyDescent="0.25">
      <c r="I73" s="470">
        <v>1</v>
      </c>
      <c r="L73" s="296">
        <v>135</v>
      </c>
      <c r="M73" s="296">
        <v>183</v>
      </c>
      <c r="N73" s="296">
        <v>0</v>
      </c>
      <c r="O73" s="296">
        <v>0</v>
      </c>
    </row>
    <row r="74" spans="9:20" hidden="1" outlineLevel="1" x14ac:dyDescent="0.25">
      <c r="I74" s="470">
        <v>2</v>
      </c>
      <c r="L74" s="296">
        <v>77</v>
      </c>
      <c r="M74" s="296">
        <v>101</v>
      </c>
      <c r="N74" s="296">
        <v>185</v>
      </c>
      <c r="O74" s="296">
        <v>247</v>
      </c>
    </row>
    <row r="75" spans="9:20" hidden="1" outlineLevel="1" x14ac:dyDescent="0.25">
      <c r="I75" s="470">
        <v>3</v>
      </c>
      <c r="L75" s="296">
        <v>77</v>
      </c>
      <c r="M75" s="296">
        <v>101</v>
      </c>
      <c r="N75" s="296">
        <v>124</v>
      </c>
      <c r="O75" s="296">
        <v>142</v>
      </c>
      <c r="P75" s="524"/>
      <c r="Q75" s="524"/>
      <c r="R75" s="524"/>
    </row>
    <row r="76" spans="9:20" hidden="1" outlineLevel="1" x14ac:dyDescent="0.25">
      <c r="I76" s="470">
        <v>4</v>
      </c>
      <c r="L76" s="296">
        <v>77</v>
      </c>
      <c r="M76" s="296">
        <v>101</v>
      </c>
      <c r="N76" s="296">
        <v>124</v>
      </c>
      <c r="O76" s="296">
        <v>142</v>
      </c>
      <c r="P76" s="524"/>
      <c r="Q76" s="524"/>
      <c r="R76" s="524"/>
    </row>
    <row r="77" spans="9:20" hidden="1" outlineLevel="1" x14ac:dyDescent="0.25">
      <c r="I77" s="470">
        <v>5</v>
      </c>
      <c r="L77" s="296">
        <v>77</v>
      </c>
      <c r="M77" s="296">
        <v>101</v>
      </c>
      <c r="N77" s="296">
        <v>124</v>
      </c>
      <c r="O77" s="296">
        <v>144</v>
      </c>
      <c r="P77" s="524"/>
      <c r="Q77" s="524"/>
      <c r="R77" s="524"/>
    </row>
    <row r="78" spans="9:20" hidden="1" outlineLevel="1" x14ac:dyDescent="0.25">
      <c r="I78" s="470">
        <v>6</v>
      </c>
      <c r="L78" s="296">
        <v>77</v>
      </c>
      <c r="M78" s="296">
        <v>108</v>
      </c>
      <c r="N78" s="296">
        <v>130</v>
      </c>
      <c r="O78" s="296">
        <v>130</v>
      </c>
      <c r="P78" s="524"/>
      <c r="Q78" s="524"/>
      <c r="R78" s="524"/>
    </row>
    <row r="79" spans="9:20" hidden="1" outlineLevel="1" x14ac:dyDescent="0.25">
      <c r="I79" s="470">
        <v>7</v>
      </c>
      <c r="L79" s="296">
        <v>77</v>
      </c>
      <c r="M79" s="296">
        <v>108</v>
      </c>
      <c r="N79" s="296">
        <v>135</v>
      </c>
      <c r="O79" s="296">
        <v>135</v>
      </c>
      <c r="P79" s="524"/>
      <c r="Q79" s="524"/>
      <c r="R79" s="524"/>
    </row>
    <row r="80" spans="9:20" hidden="1" outlineLevel="1" x14ac:dyDescent="0.25">
      <c r="I80" s="470">
        <v>8</v>
      </c>
      <c r="L80" s="296">
        <v>77</v>
      </c>
      <c r="M80" s="296">
        <v>112</v>
      </c>
      <c r="N80" s="296">
        <v>140</v>
      </c>
      <c r="O80" s="296">
        <v>140</v>
      </c>
      <c r="P80" s="524"/>
      <c r="Q80" s="524"/>
      <c r="R80" s="524"/>
    </row>
    <row r="81" spans="9:18" hidden="1" outlineLevel="1" x14ac:dyDescent="0.25">
      <c r="I81" s="470">
        <v>9</v>
      </c>
      <c r="L81" s="296">
        <v>126</v>
      </c>
      <c r="M81" s="296">
        <v>152</v>
      </c>
      <c r="N81" s="296">
        <v>220</v>
      </c>
      <c r="O81" s="296">
        <v>220</v>
      </c>
      <c r="P81" s="524"/>
      <c r="Q81" s="524"/>
      <c r="R81" s="524"/>
    </row>
    <row r="82" spans="9:18" hidden="1" outlineLevel="1" x14ac:dyDescent="0.25">
      <c r="L82" s="296"/>
      <c r="M82" s="296"/>
      <c r="N82" s="296"/>
      <c r="O82" s="296"/>
    </row>
    <row r="83" spans="9:18" x14ac:dyDescent="0.25">
      <c r="L83" s="296"/>
      <c r="M83" s="296"/>
      <c r="N83" s="296"/>
      <c r="O83" s="296"/>
    </row>
    <row r="84" spans="9:18" x14ac:dyDescent="0.25">
      <c r="L84" s="296"/>
      <c r="M84" s="296"/>
      <c r="N84" s="296"/>
      <c r="O84" s="296"/>
    </row>
    <row r="85" spans="9:18" x14ac:dyDescent="0.25">
      <c r="L85" s="296"/>
      <c r="M85" s="296"/>
      <c r="N85" s="296"/>
      <c r="O85" s="296"/>
    </row>
    <row r="86" spans="9:18" x14ac:dyDescent="0.25">
      <c r="L86" s="296"/>
      <c r="M86" s="296"/>
      <c r="N86" s="296"/>
      <c r="O86" s="296"/>
    </row>
    <row r="87" spans="9:18" x14ac:dyDescent="0.25">
      <c r="L87" s="296"/>
      <c r="M87" s="296"/>
      <c r="N87" s="296"/>
      <c r="O87" s="296"/>
    </row>
    <row r="88" spans="9:18" x14ac:dyDescent="0.25">
      <c r="L88" s="296"/>
      <c r="M88" s="296"/>
      <c r="N88" s="296"/>
      <c r="O88" s="296"/>
    </row>
    <row r="89" spans="9:18" x14ac:dyDescent="0.25">
      <c r="L89" s="296"/>
      <c r="M89" s="296"/>
      <c r="N89" s="296"/>
      <c r="O89" s="296"/>
    </row>
    <row r="90" spans="9:18" x14ac:dyDescent="0.25">
      <c r="L90" s="296"/>
      <c r="M90" s="296"/>
      <c r="N90" s="296"/>
      <c r="O90" s="296"/>
    </row>
    <row r="91" spans="9:18" x14ac:dyDescent="0.25">
      <c r="L91" s="296"/>
      <c r="M91" s="296"/>
      <c r="N91" s="296"/>
      <c r="O91" s="296"/>
    </row>
    <row r="92" spans="9:18" x14ac:dyDescent="0.25">
      <c r="L92" s="296"/>
      <c r="M92" s="296"/>
      <c r="N92" s="296"/>
      <c r="O92" s="296"/>
    </row>
    <row r="93" spans="9:18" x14ac:dyDescent="0.25">
      <c r="L93" s="296"/>
      <c r="M93" s="296"/>
      <c r="N93" s="296"/>
      <c r="O93" s="296"/>
    </row>
    <row r="94" spans="9:18" x14ac:dyDescent="0.25">
      <c r="L94" s="296"/>
      <c r="M94" s="296"/>
      <c r="N94" s="296"/>
      <c r="O94" s="296"/>
    </row>
    <row r="95" spans="9:18" x14ac:dyDescent="0.25">
      <c r="L95" s="296"/>
      <c r="M95" s="296"/>
      <c r="N95" s="296"/>
      <c r="O95" s="296"/>
    </row>
    <row r="96" spans="9:18" x14ac:dyDescent="0.25">
      <c r="L96" s="296"/>
      <c r="M96" s="296"/>
      <c r="N96" s="296"/>
      <c r="O96" s="296"/>
    </row>
    <row r="97" spans="12:15" x14ac:dyDescent="0.25">
      <c r="L97" s="296"/>
      <c r="M97" s="296"/>
      <c r="N97" s="296"/>
      <c r="O97" s="296"/>
    </row>
    <row r="98" spans="12:15" x14ac:dyDescent="0.25">
      <c r="L98" s="296"/>
      <c r="M98" s="296"/>
      <c r="N98" s="296"/>
      <c r="O98" s="296"/>
    </row>
    <row r="99" spans="12:15" x14ac:dyDescent="0.25">
      <c r="L99" s="296"/>
      <c r="M99" s="296"/>
      <c r="N99" s="296"/>
      <c r="O99" s="296"/>
    </row>
    <row r="100" spans="12:15" x14ac:dyDescent="0.25">
      <c r="L100" s="296"/>
      <c r="M100" s="296"/>
      <c r="N100" s="296"/>
      <c r="O100" s="296"/>
    </row>
    <row r="101" spans="12:15" x14ac:dyDescent="0.25">
      <c r="L101" s="296"/>
      <c r="M101" s="296"/>
      <c r="N101" s="296"/>
      <c r="O101" s="296"/>
    </row>
    <row r="102" spans="12:15" x14ac:dyDescent="0.25">
      <c r="L102" s="296"/>
      <c r="M102" s="296"/>
      <c r="N102" s="296"/>
      <c r="O102" s="296"/>
    </row>
    <row r="103" spans="12:15" x14ac:dyDescent="0.25">
      <c r="L103" s="296"/>
      <c r="M103" s="296"/>
      <c r="N103" s="296"/>
      <c r="O103" s="296"/>
    </row>
    <row r="104" spans="12:15" x14ac:dyDescent="0.25">
      <c r="L104" s="296"/>
      <c r="M104" s="296"/>
      <c r="N104" s="296"/>
      <c r="O104" s="296"/>
    </row>
    <row r="105" spans="12:15" x14ac:dyDescent="0.25">
      <c r="L105" s="296"/>
      <c r="M105" s="296"/>
      <c r="N105" s="296"/>
      <c r="O105" s="296"/>
    </row>
    <row r="106" spans="12:15" x14ac:dyDescent="0.25">
      <c r="L106" s="296"/>
      <c r="M106" s="296"/>
      <c r="N106" s="296"/>
      <c r="O106" s="296"/>
    </row>
    <row r="107" spans="12:15" x14ac:dyDescent="0.25">
      <c r="L107" s="296"/>
      <c r="M107" s="296"/>
      <c r="N107" s="296"/>
      <c r="O107" s="296"/>
    </row>
    <row r="108" spans="12:15" x14ac:dyDescent="0.25">
      <c r="L108" s="296"/>
      <c r="M108" s="296"/>
      <c r="N108" s="296"/>
      <c r="O108" s="296"/>
    </row>
    <row r="109" spans="12:15" x14ac:dyDescent="0.25">
      <c r="L109" s="296"/>
      <c r="M109" s="296"/>
      <c r="N109" s="296"/>
      <c r="O109" s="296"/>
    </row>
    <row r="110" spans="12:15" x14ac:dyDescent="0.25">
      <c r="L110" s="296"/>
      <c r="M110" s="296"/>
      <c r="N110" s="296"/>
      <c r="O110" s="296"/>
    </row>
    <row r="111" spans="12:15" x14ac:dyDescent="0.25">
      <c r="L111" s="296"/>
      <c r="M111" s="296"/>
      <c r="N111" s="296"/>
      <c r="O111" s="296"/>
    </row>
    <row r="112" spans="12:15" x14ac:dyDescent="0.25">
      <c r="L112" s="296"/>
      <c r="M112" s="296"/>
      <c r="N112" s="296"/>
      <c r="O112" s="296"/>
    </row>
    <row r="113" spans="12:15" x14ac:dyDescent="0.25">
      <c r="L113" s="296"/>
      <c r="M113" s="296"/>
      <c r="N113" s="296"/>
      <c r="O113" s="296"/>
    </row>
    <row r="114" spans="12:15" x14ac:dyDescent="0.25">
      <c r="L114" s="296"/>
      <c r="M114" s="296"/>
      <c r="N114" s="296"/>
      <c r="O114" s="296"/>
    </row>
    <row r="115" spans="12:15" x14ac:dyDescent="0.25">
      <c r="L115" s="296"/>
      <c r="M115" s="296"/>
      <c r="N115" s="296"/>
      <c r="O115" s="296"/>
    </row>
    <row r="116" spans="12:15" x14ac:dyDescent="0.25">
      <c r="L116" s="296"/>
      <c r="M116" s="296"/>
      <c r="N116" s="296"/>
      <c r="O116" s="296"/>
    </row>
    <row r="117" spans="12:15" x14ac:dyDescent="0.25">
      <c r="L117" s="296"/>
      <c r="M117" s="296"/>
      <c r="N117" s="296"/>
      <c r="O117" s="296"/>
    </row>
    <row r="118" spans="12:15" x14ac:dyDescent="0.25">
      <c r="L118" s="296"/>
      <c r="M118" s="296"/>
      <c r="N118" s="296"/>
      <c r="O118" s="296"/>
    </row>
    <row r="119" spans="12:15" x14ac:dyDescent="0.25">
      <c r="L119" s="296"/>
      <c r="M119" s="296"/>
      <c r="N119" s="296"/>
      <c r="O119" s="296"/>
    </row>
    <row r="120" spans="12:15" x14ac:dyDescent="0.25">
      <c r="L120" s="296"/>
      <c r="M120" s="296"/>
      <c r="N120" s="296"/>
      <c r="O120" s="296"/>
    </row>
    <row r="121" spans="12:15" x14ac:dyDescent="0.25">
      <c r="L121" s="296"/>
      <c r="M121" s="296"/>
      <c r="N121" s="296"/>
      <c r="O121" s="296"/>
    </row>
    <row r="122" spans="12:15" x14ac:dyDescent="0.25">
      <c r="L122" s="296"/>
      <c r="M122" s="296"/>
      <c r="N122" s="296"/>
      <c r="O122" s="296"/>
    </row>
    <row r="123" spans="12:15" x14ac:dyDescent="0.25">
      <c r="L123" s="296"/>
      <c r="M123" s="296"/>
      <c r="N123" s="296"/>
      <c r="O123" s="296"/>
    </row>
    <row r="124" spans="12:15" x14ac:dyDescent="0.25">
      <c r="L124" s="296"/>
      <c r="M124" s="296"/>
      <c r="N124" s="296"/>
      <c r="O124" s="296"/>
    </row>
    <row r="125" spans="12:15" x14ac:dyDescent="0.25">
      <c r="L125" s="296"/>
      <c r="M125" s="296"/>
      <c r="N125" s="296"/>
      <c r="O125" s="296"/>
    </row>
    <row r="126" spans="12:15" x14ac:dyDescent="0.25">
      <c r="L126" s="296"/>
      <c r="M126" s="296"/>
      <c r="N126" s="296"/>
      <c r="O126" s="296"/>
    </row>
    <row r="127" spans="12:15" x14ac:dyDescent="0.25">
      <c r="L127" s="296"/>
      <c r="M127" s="296"/>
      <c r="N127" s="296"/>
      <c r="O127" s="296"/>
    </row>
    <row r="128" spans="12:15" x14ac:dyDescent="0.25">
      <c r="L128" s="296"/>
      <c r="M128" s="296"/>
      <c r="N128" s="296"/>
      <c r="O128" s="296"/>
    </row>
    <row r="129" spans="12:15" x14ac:dyDescent="0.25">
      <c r="L129" s="296"/>
      <c r="M129" s="296"/>
      <c r="N129" s="296"/>
      <c r="O129" s="296"/>
    </row>
    <row r="130" spans="12:15" x14ac:dyDescent="0.25">
      <c r="L130" s="296"/>
      <c r="M130" s="296"/>
      <c r="N130" s="296"/>
      <c r="O130" s="296"/>
    </row>
    <row r="131" spans="12:15" x14ac:dyDescent="0.25">
      <c r="L131" s="296"/>
      <c r="M131" s="296"/>
      <c r="N131" s="296"/>
      <c r="O131" s="296"/>
    </row>
    <row r="132" spans="12:15" x14ac:dyDescent="0.25">
      <c r="L132" s="296"/>
      <c r="M132" s="296"/>
      <c r="N132" s="296"/>
      <c r="O132" s="296"/>
    </row>
    <row r="133" spans="12:15" x14ac:dyDescent="0.25">
      <c r="L133" s="296"/>
      <c r="M133" s="296"/>
      <c r="N133" s="296"/>
      <c r="O133" s="296"/>
    </row>
    <row r="134" spans="12:15" x14ac:dyDescent="0.25">
      <c r="L134" s="296"/>
      <c r="M134" s="296"/>
      <c r="N134" s="296"/>
      <c r="O134" s="296"/>
    </row>
    <row r="135" spans="12:15" x14ac:dyDescent="0.25">
      <c r="L135" s="296"/>
      <c r="M135" s="296"/>
      <c r="N135" s="296"/>
      <c r="O135" s="296"/>
    </row>
    <row r="136" spans="12:15" x14ac:dyDescent="0.25">
      <c r="L136" s="296"/>
      <c r="M136" s="296"/>
      <c r="N136" s="296"/>
      <c r="O136" s="296"/>
    </row>
    <row r="137" spans="12:15" x14ac:dyDescent="0.25">
      <c r="L137" s="296"/>
      <c r="M137" s="296"/>
      <c r="N137" s="296"/>
      <c r="O137" s="296"/>
    </row>
    <row r="138" spans="12:15" x14ac:dyDescent="0.25">
      <c r="L138" s="296"/>
      <c r="M138" s="296"/>
      <c r="N138" s="296"/>
      <c r="O138" s="296"/>
    </row>
    <row r="139" spans="12:15" x14ac:dyDescent="0.25">
      <c r="L139" s="296"/>
      <c r="M139" s="296"/>
      <c r="N139" s="296"/>
      <c r="O139" s="296"/>
    </row>
    <row r="140" spans="12:15" x14ac:dyDescent="0.25">
      <c r="L140" s="296"/>
      <c r="M140" s="296"/>
      <c r="N140" s="296"/>
      <c r="O140" s="296"/>
    </row>
    <row r="141" spans="12:15" x14ac:dyDescent="0.25">
      <c r="L141" s="296"/>
      <c r="M141" s="296"/>
      <c r="N141" s="296"/>
      <c r="O141" s="296"/>
    </row>
  </sheetData>
  <sheetProtection algorithmName="SHA-512" hashValue="lwwes8hMpECJ50TuY6VJ0q1a3rswKNEWPmbJB1Lqav2v9dZFOhfLEQ7tUYMQR7XHmRqhLDQUlDUFf+YpBGLyuQ==" saltValue="CiDAvPtO566+iBX6jGOeew==" spinCount="100000" sheet="1" objects="1" scenarios="1"/>
  <conditionalFormatting sqref="K5:K7">
    <cfRule type="expression" dxfId="18" priority="1">
      <formula>#REF!="y"</formula>
    </cfRule>
  </conditionalFormatting>
  <pageMargins left="0.25" right="0.25" top="0.75" bottom="0.75" header="0.3" footer="0.3"/>
  <pageSetup scale="61" fitToHeight="0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7B38C-3867-4324-9ED2-ADE740D53D6D}">
  <sheetPr codeName="Sheet18">
    <outlinePr summaryBelow="0"/>
    <pageSetUpPr autoPageBreaks="0" fitToPage="1"/>
  </sheetPr>
  <dimension ref="A1:AV77"/>
  <sheetViews>
    <sheetView showGridLines="0" zoomScale="90" zoomScaleNormal="90" workbookViewId="0">
      <selection activeCell="M79" sqref="M79"/>
    </sheetView>
  </sheetViews>
  <sheetFormatPr defaultRowHeight="15" outlineLevelCol="1" x14ac:dyDescent="0.25"/>
  <cols>
    <col min="1" max="1" width="2.7109375" customWidth="1"/>
    <col min="2" max="4" width="10.42578125" hidden="1" customWidth="1" outlineLevel="1"/>
    <col min="5" max="11" width="10.5703125" hidden="1" customWidth="1" outlineLevel="1"/>
    <col min="12" max="12" width="2.7109375" hidden="1" customWidth="1" outlineLevel="1"/>
    <col min="13" max="13" width="25.28515625" customWidth="1" collapsed="1"/>
    <col min="14" max="20" width="14.85546875" customWidth="1"/>
    <col min="21" max="21" width="10.28515625" customWidth="1"/>
    <col min="22" max="22" width="2.7109375" hidden="1" customWidth="1" outlineLevel="1"/>
    <col min="23" max="23" width="10.140625" style="11" hidden="1" customWidth="1" outlineLevel="1"/>
    <col min="24" max="25" width="10.140625" hidden="1" customWidth="1" outlineLevel="1"/>
    <col min="26" max="26" width="2.7109375" hidden="1" customWidth="1" outlineLevel="1"/>
    <col min="27" max="29" width="10.140625" hidden="1" customWidth="1" outlineLevel="1"/>
    <col min="30" max="30" width="2.7109375" hidden="1" customWidth="1" outlineLevel="1"/>
    <col min="31" max="31" width="10.140625" style="11" hidden="1" customWidth="1" outlineLevel="1"/>
    <col min="32" max="33" width="10.140625" hidden="1" customWidth="1" outlineLevel="1"/>
    <col min="34" max="34" width="2.7109375" hidden="1" customWidth="1" outlineLevel="1"/>
    <col min="35" max="37" width="9.28515625" style="11" hidden="1" customWidth="1" outlineLevel="1"/>
    <col min="38" max="38" width="2.7109375" style="11" hidden="1" customWidth="1" outlineLevel="1"/>
    <col min="39" max="41" width="9.28515625" hidden="1" customWidth="1" outlineLevel="1"/>
    <col min="42" max="42" width="2.7109375" hidden="1" customWidth="1" outlineLevel="1"/>
    <col min="43" max="45" width="9.42578125" hidden="1" customWidth="1" outlineLevel="1"/>
    <col min="46" max="46" width="2.7109375" hidden="1" customWidth="1" outlineLevel="1"/>
    <col min="47" max="47" width="8.85546875" hidden="1" customWidth="1" outlineLevel="1"/>
    <col min="48" max="48" width="9.140625" collapsed="1"/>
  </cols>
  <sheetData>
    <row r="1" spans="1:45" ht="9.9499999999999993" customHeight="1" x14ac:dyDescent="0.25"/>
    <row r="2" spans="1:45" ht="21" x14ac:dyDescent="0.35">
      <c r="M2" s="1" t="s">
        <v>214</v>
      </c>
      <c r="N2" s="39"/>
      <c r="O2" s="39"/>
      <c r="P2" s="39"/>
      <c r="Q2" s="39"/>
      <c r="R2" s="88"/>
      <c r="S2" s="88"/>
      <c r="T2" s="88"/>
    </row>
    <row r="3" spans="1:45" s="72" customFormat="1" ht="18.75" x14ac:dyDescent="0.25">
      <c r="M3" s="444" t="s">
        <v>872</v>
      </c>
      <c r="N3" s="778"/>
      <c r="O3" s="778"/>
      <c r="P3" s="778"/>
      <c r="Q3" s="778"/>
      <c r="S3" s="779"/>
      <c r="T3" s="398"/>
      <c r="W3" s="249"/>
      <c r="AE3" s="249"/>
      <c r="AI3" s="249"/>
      <c r="AJ3" s="249"/>
      <c r="AK3" s="249"/>
      <c r="AL3" s="249"/>
    </row>
    <row r="4" spans="1:45" x14ac:dyDescent="0.25">
      <c r="B4" s="574" t="s">
        <v>859</v>
      </c>
      <c r="C4" s="574" t="s">
        <v>860</v>
      </c>
      <c r="G4" s="471"/>
      <c r="H4" s="471"/>
      <c r="I4" s="471"/>
      <c r="J4" s="471"/>
      <c r="K4" s="471"/>
      <c r="L4" s="471"/>
    </row>
    <row r="5" spans="1:45" x14ac:dyDescent="0.25">
      <c r="B5" s="2">
        <v>310</v>
      </c>
      <c r="C5" s="2" t="s">
        <v>214</v>
      </c>
      <c r="E5" s="473" t="s">
        <v>635</v>
      </c>
      <c r="F5" s="400" t="s">
        <v>644</v>
      </c>
      <c r="M5" s="473" t="str">
        <f>_xlfn.CONCAT($E$5,"  ",F5)</f>
        <v>•  Class XX, X, Y, or Z</v>
      </c>
      <c r="P5" s="474"/>
      <c r="AA5" t="s">
        <v>735</v>
      </c>
      <c r="AC5" s="528">
        <v>0.2</v>
      </c>
      <c r="AE5" t="s">
        <v>748</v>
      </c>
      <c r="AG5" s="528">
        <v>0.4</v>
      </c>
      <c r="AQ5" t="s">
        <v>748</v>
      </c>
      <c r="AS5" s="528">
        <v>0.4</v>
      </c>
    </row>
    <row r="6" spans="1:45" x14ac:dyDescent="0.25">
      <c r="F6" s="400" t="s">
        <v>692</v>
      </c>
      <c r="M6" s="473" t="str">
        <f>_xlfn.CONCAT($E$5,"  ",F6)</f>
        <v>•  Go (Minus), NoGo (Plus), or Master (Bilateral) tolerance</v>
      </c>
      <c r="Q6" s="473"/>
      <c r="AA6" t="s">
        <v>736</v>
      </c>
      <c r="AC6" s="528">
        <v>0.2</v>
      </c>
      <c r="AE6" t="s">
        <v>746</v>
      </c>
      <c r="AG6" s="528">
        <v>0.4</v>
      </c>
      <c r="AQ6" t="s">
        <v>746</v>
      </c>
      <c r="AS6" s="528">
        <v>0.4</v>
      </c>
    </row>
    <row r="7" spans="1:45" x14ac:dyDescent="0.25">
      <c r="B7" s="471" t="s">
        <v>689</v>
      </c>
      <c r="F7" s="400" t="s">
        <v>645</v>
      </c>
      <c r="L7" s="34"/>
      <c r="M7" s="473" t="str">
        <f>_xlfn.CONCAT($E$5,"  ",F7)</f>
        <v>•  Steel, Chrome, or Carbide</v>
      </c>
      <c r="Q7" s="473"/>
      <c r="AA7" s="3" t="s">
        <v>738</v>
      </c>
      <c r="AC7" s="528">
        <v>0.05</v>
      </c>
      <c r="AE7" t="s">
        <v>747</v>
      </c>
      <c r="AG7" s="528">
        <v>0.4</v>
      </c>
      <c r="AQ7" t="s">
        <v>747</v>
      </c>
      <c r="AS7" s="528">
        <v>0.4</v>
      </c>
    </row>
    <row r="8" spans="1:45" x14ac:dyDescent="0.25">
      <c r="B8" t="s">
        <v>690</v>
      </c>
      <c r="E8" s="91"/>
      <c r="F8" s="77" t="s">
        <v>695</v>
      </c>
      <c r="G8" s="471"/>
      <c r="J8" s="471"/>
      <c r="K8" s="471"/>
      <c r="L8" s="471"/>
      <c r="M8" s="473" t="str">
        <f>_xlfn.CONCAT($E$5,"  ",F8)</f>
        <v>•  Custom marking available – $25 per ring</v>
      </c>
    </row>
    <row r="9" spans="1:45" ht="15.75" thickBot="1" x14ac:dyDescent="0.3">
      <c r="B9" t="s">
        <v>691</v>
      </c>
      <c r="E9" s="91"/>
      <c r="G9" s="89"/>
      <c r="H9" s="89"/>
      <c r="I9" s="89"/>
      <c r="J9" s="89"/>
      <c r="K9" s="89"/>
      <c r="L9" s="89"/>
    </row>
    <row r="10" spans="1:45" s="72" customFormat="1" ht="19.5" customHeight="1" x14ac:dyDescent="0.25">
      <c r="A10"/>
      <c r="B10"/>
      <c r="C10"/>
      <c r="D10"/>
      <c r="E10" s="57" t="s">
        <v>624</v>
      </c>
      <c r="M10" s="870" t="s">
        <v>214</v>
      </c>
      <c r="N10" s="599"/>
      <c r="O10" s="599"/>
      <c r="P10" s="599"/>
      <c r="Q10" s="599"/>
      <c r="R10" s="599"/>
      <c r="S10" s="600"/>
      <c r="T10" s="601"/>
      <c r="W10" s="538" t="s">
        <v>865</v>
      </c>
      <c r="X10" s="538"/>
      <c r="Y10" s="538"/>
      <c r="AA10" s="538" t="s">
        <v>963</v>
      </c>
      <c r="AB10" s="538"/>
      <c r="AC10" s="538"/>
      <c r="AE10" s="538" t="s">
        <v>737</v>
      </c>
      <c r="AF10" s="538"/>
      <c r="AG10" s="538"/>
      <c r="AI10" s="538" t="s">
        <v>962</v>
      </c>
      <c r="AJ10" s="538"/>
      <c r="AK10" s="538"/>
      <c r="AM10" s="538" t="s">
        <v>964</v>
      </c>
      <c r="AN10" s="538"/>
      <c r="AO10" s="538"/>
      <c r="AQ10" s="538" t="s">
        <v>737</v>
      </c>
      <c r="AR10" s="538"/>
      <c r="AS10" s="538"/>
    </row>
    <row r="11" spans="1:45" s="72" customFormat="1" ht="19.5" customHeight="1" x14ac:dyDescent="0.25">
      <c r="A11"/>
      <c r="B11"/>
      <c r="C11"/>
      <c r="D11"/>
      <c r="E11" s="57" t="s">
        <v>636</v>
      </c>
      <c r="M11" s="220" t="s">
        <v>3</v>
      </c>
      <c r="N11" s="221" t="s">
        <v>578</v>
      </c>
      <c r="O11" s="221" t="s">
        <v>577</v>
      </c>
      <c r="P11" s="221" t="s">
        <v>530</v>
      </c>
      <c r="Q11" s="221" t="s">
        <v>573</v>
      </c>
      <c r="R11" s="222" t="s">
        <v>484</v>
      </c>
      <c r="S11" s="223" t="s">
        <v>485</v>
      </c>
      <c r="T11" s="224" t="s">
        <v>486</v>
      </c>
      <c r="W11" s="127" t="s">
        <v>484</v>
      </c>
      <c r="X11" s="127" t="s">
        <v>485</v>
      </c>
      <c r="Y11" s="127" t="s">
        <v>486</v>
      </c>
      <c r="AA11" s="127" t="s">
        <v>484</v>
      </c>
      <c r="AB11" s="127" t="s">
        <v>485</v>
      </c>
      <c r="AC11" s="127" t="s">
        <v>486</v>
      </c>
      <c r="AE11" s="127" t="s">
        <v>484</v>
      </c>
      <c r="AF11" s="127" t="s">
        <v>485</v>
      </c>
      <c r="AG11" s="127" t="s">
        <v>486</v>
      </c>
      <c r="AI11" s="10" t="s">
        <v>484</v>
      </c>
      <c r="AJ11" s="10" t="s">
        <v>485</v>
      </c>
      <c r="AK11" s="10" t="s">
        <v>486</v>
      </c>
      <c r="AM11" s="10" t="s">
        <v>484</v>
      </c>
      <c r="AN11" s="10" t="s">
        <v>485</v>
      </c>
      <c r="AO11" s="10" t="s">
        <v>486</v>
      </c>
      <c r="AQ11" s="10" t="s">
        <v>484</v>
      </c>
      <c r="AR11" s="10" t="s">
        <v>485</v>
      </c>
      <c r="AS11" s="10" t="s">
        <v>486</v>
      </c>
    </row>
    <row r="12" spans="1:45" s="72" customFormat="1" x14ac:dyDescent="0.25">
      <c r="A12"/>
      <c r="B12"/>
      <c r="C12"/>
      <c r="D12"/>
      <c r="M12" s="225"/>
      <c r="N12" s="226"/>
      <c r="O12" s="226"/>
      <c r="P12" s="226"/>
      <c r="Q12" s="226" t="s">
        <v>198</v>
      </c>
      <c r="R12" s="531">
        <f>AQ12</f>
        <v>410</v>
      </c>
      <c r="S12" s="531">
        <f>AR12</f>
        <v>0</v>
      </c>
      <c r="T12" s="532">
        <f>AS12</f>
        <v>675</v>
      </c>
      <c r="W12" s="853">
        <v>280</v>
      </c>
      <c r="X12" s="853">
        <v>280</v>
      </c>
      <c r="Y12" s="853">
        <v>335</v>
      </c>
      <c r="Z12" s="544"/>
      <c r="AA12" s="545">
        <f t="shared" ref="AA12:AA43" si="0">(1-$AC$5)*W12</f>
        <v>224</v>
      </c>
      <c r="AB12" s="545">
        <f t="shared" ref="AB12:AB43" si="1">(1-$AC$5)*X12</f>
        <v>224</v>
      </c>
      <c r="AC12" s="545">
        <f t="shared" ref="AC12:AC43" si="2">(1-$AC$5)*Y12</f>
        <v>268</v>
      </c>
      <c r="AD12" s="546"/>
      <c r="AE12" s="977">
        <f>MROUND((AA12/((1-$AG$5)*(1-$AC$6))),5)</f>
        <v>465</v>
      </c>
      <c r="AF12" s="977">
        <f>MROUND(((AB12/((1-$AG$6)*(1-$AC$6)))*(1+$AC$7)),5)</f>
        <v>490</v>
      </c>
      <c r="AG12" s="977">
        <f>MROUND((AC12/((1-$AG$7)*(1-$AC$6))),5)</f>
        <v>560</v>
      </c>
      <c r="AH12" s="546"/>
      <c r="AI12" s="548">
        <v>247</v>
      </c>
      <c r="AJ12" s="548">
        <v>0</v>
      </c>
      <c r="AK12" s="548">
        <v>406</v>
      </c>
      <c r="AL12" s="547"/>
      <c r="AM12" s="545">
        <f t="shared" ref="AM12:AO15" si="3">(1-$AC$5)*AI12</f>
        <v>197.60000000000002</v>
      </c>
      <c r="AN12" s="545">
        <f t="shared" si="3"/>
        <v>0</v>
      </c>
      <c r="AO12" s="545">
        <f t="shared" si="3"/>
        <v>324.8</v>
      </c>
      <c r="AP12" s="546"/>
      <c r="AQ12" s="547">
        <f>MROUND((AM12/((1-$AS$5)*(1-$AC$6))),5)</f>
        <v>410</v>
      </c>
      <c r="AR12" s="547">
        <f>MROUND((AN12/((1-$AS$6)*(1-$AC$6))),5)</f>
        <v>0</v>
      </c>
      <c r="AS12" s="547">
        <f>MROUND((AO12/((1-$AS$7)*(1-$AC$6))),5)</f>
        <v>675</v>
      </c>
    </row>
    <row r="13" spans="1:45" s="72" customFormat="1" x14ac:dyDescent="0.25">
      <c r="A13"/>
      <c r="B13"/>
      <c r="C13"/>
      <c r="D13"/>
      <c r="E13" t="s">
        <v>6</v>
      </c>
      <c r="F13" s="93">
        <v>0.04</v>
      </c>
      <c r="G13" s="93">
        <v>7.0000000000000007E-2</v>
      </c>
      <c r="H13" s="90"/>
      <c r="I13" s="90"/>
      <c r="J13" s="90"/>
      <c r="K13" s="90"/>
      <c r="L13" s="90"/>
      <c r="M13" s="228" t="str">
        <f>_xlfn.CONCAT(TEXT($F13,"#.0000"),""""," to ",TEXT($G13,"#.000#"),"""")</f>
        <v>.0400" to .070"</v>
      </c>
      <c r="N13" s="1291" t="s">
        <v>491</v>
      </c>
      <c r="O13" s="1290">
        <v>0.9375</v>
      </c>
      <c r="P13" s="1290">
        <v>0.1875</v>
      </c>
      <c r="Q13" s="229" t="s">
        <v>197</v>
      </c>
      <c r="R13" s="315">
        <f>AQ13</f>
        <v>340</v>
      </c>
      <c r="S13" s="315">
        <f t="shared" ref="S13:S15" si="4">AR13</f>
        <v>0</v>
      </c>
      <c r="T13" s="106">
        <f>AS13</f>
        <v>565</v>
      </c>
      <c r="W13" s="853">
        <v>240</v>
      </c>
      <c r="X13" s="853">
        <v>240</v>
      </c>
      <c r="Y13" s="853">
        <v>276</v>
      </c>
      <c r="Z13" s="544"/>
      <c r="AA13" s="545">
        <f t="shared" si="0"/>
        <v>192</v>
      </c>
      <c r="AB13" s="545">
        <f t="shared" si="1"/>
        <v>192</v>
      </c>
      <c r="AC13" s="545">
        <f t="shared" si="2"/>
        <v>220.8</v>
      </c>
      <c r="AD13" s="546"/>
      <c r="AE13" s="977">
        <f t="shared" ref="AE13:AE63" si="5">MROUND((AA13/((1-$AG$5)*(1-$AC$6))),5)</f>
        <v>400</v>
      </c>
      <c r="AF13" s="977">
        <f t="shared" ref="AF13:AF63" si="6">MROUND(((AB13/((1-$AG$6)*(1-$AC$6)))*(1+$AC$7)),5)</f>
        <v>420</v>
      </c>
      <c r="AG13" s="977">
        <f t="shared" ref="AG13:AG63" si="7">MROUND((AC13/((1-$AG$7)*(1-$AC$6))),5)</f>
        <v>460</v>
      </c>
      <c r="AH13" s="546"/>
      <c r="AI13" s="548">
        <v>203</v>
      </c>
      <c r="AJ13" s="548">
        <v>0</v>
      </c>
      <c r="AK13" s="548">
        <v>338</v>
      </c>
      <c r="AL13" s="547"/>
      <c r="AM13" s="545">
        <f t="shared" si="3"/>
        <v>162.4</v>
      </c>
      <c r="AN13" s="545">
        <f t="shared" si="3"/>
        <v>0</v>
      </c>
      <c r="AO13" s="545">
        <f t="shared" si="3"/>
        <v>270.40000000000003</v>
      </c>
      <c r="AP13" s="546"/>
      <c r="AQ13" s="547">
        <f>MROUND((AM13/((1-$AS$5)*(1-$AC$6))),5)</f>
        <v>340</v>
      </c>
      <c r="AR13" s="547">
        <f t="shared" ref="AR13:AR14" si="8">MROUND((AN13/((1-$AS$6)*(1-$AC$6))),5)</f>
        <v>0</v>
      </c>
      <c r="AS13" s="547">
        <f t="shared" ref="AS13:AS14" si="9">MROUND((AO13/((1-$AS$7)*(1-$AC$6))),5)</f>
        <v>565</v>
      </c>
    </row>
    <row r="14" spans="1:45" s="72" customFormat="1" x14ac:dyDescent="0.25">
      <c r="A14"/>
      <c r="B14"/>
      <c r="C14"/>
      <c r="D14"/>
      <c r="E14" t="s">
        <v>576</v>
      </c>
      <c r="F14" s="94">
        <v>1.016</v>
      </c>
      <c r="G14" s="94">
        <v>1.78</v>
      </c>
      <c r="H14" s="94"/>
      <c r="I14" s="94"/>
      <c r="J14" s="94"/>
      <c r="K14" s="94"/>
      <c r="L14" s="90"/>
      <c r="M14" s="228" t="str">
        <f>_xlfn.CONCAT(TEXT($F14,"0.00#"),"mm"," to ",TEXT($G14,"0.00#"),"mm")</f>
        <v>1.016mm to 1.78mm</v>
      </c>
      <c r="N14" s="1291"/>
      <c r="O14" s="1290"/>
      <c r="P14" s="1290"/>
      <c r="Q14" s="229" t="s">
        <v>209</v>
      </c>
      <c r="R14" s="315">
        <f t="shared" ref="R14" si="10">AQ14</f>
        <v>335</v>
      </c>
      <c r="S14" s="315">
        <f t="shared" si="4"/>
        <v>0</v>
      </c>
      <c r="T14" s="106">
        <f t="shared" ref="T14" si="11">AS14</f>
        <v>535</v>
      </c>
      <c r="W14" s="853">
        <v>226</v>
      </c>
      <c r="X14" s="853">
        <v>226</v>
      </c>
      <c r="Y14" s="853">
        <v>265</v>
      </c>
      <c r="Z14" s="544"/>
      <c r="AA14" s="545">
        <f t="shared" si="0"/>
        <v>180.8</v>
      </c>
      <c r="AB14" s="545">
        <f t="shared" si="1"/>
        <v>180.8</v>
      </c>
      <c r="AC14" s="545">
        <f t="shared" si="2"/>
        <v>212</v>
      </c>
      <c r="AD14" s="546"/>
      <c r="AE14" s="977">
        <f t="shared" si="5"/>
        <v>375</v>
      </c>
      <c r="AF14" s="977">
        <f t="shared" si="6"/>
        <v>395</v>
      </c>
      <c r="AG14" s="977">
        <f t="shared" si="7"/>
        <v>440</v>
      </c>
      <c r="AH14" s="546"/>
      <c r="AI14" s="548">
        <v>200</v>
      </c>
      <c r="AJ14" s="548">
        <v>0</v>
      </c>
      <c r="AK14" s="548">
        <v>320</v>
      </c>
      <c r="AL14" s="547"/>
      <c r="AM14" s="545">
        <f t="shared" si="3"/>
        <v>160</v>
      </c>
      <c r="AN14" s="545">
        <f t="shared" si="3"/>
        <v>0</v>
      </c>
      <c r="AO14" s="545">
        <f t="shared" si="3"/>
        <v>256</v>
      </c>
      <c r="AP14" s="546"/>
      <c r="AQ14" s="547">
        <f t="shared" ref="AQ14" si="12">MROUND((AM14/((1-$AS$5)*(1-$AC$6))),5)</f>
        <v>335</v>
      </c>
      <c r="AR14" s="547">
        <f t="shared" si="8"/>
        <v>0</v>
      </c>
      <c r="AS14" s="547">
        <f t="shared" si="9"/>
        <v>535</v>
      </c>
    </row>
    <row r="15" spans="1:45" s="72" customFormat="1" x14ac:dyDescent="0.25">
      <c r="A15"/>
      <c r="B15"/>
      <c r="C15"/>
      <c r="D15"/>
      <c r="M15" s="230"/>
      <c r="N15" s="231"/>
      <c r="O15" s="231"/>
      <c r="P15" s="231"/>
      <c r="Q15" s="232" t="s">
        <v>196</v>
      </c>
      <c r="R15" s="315">
        <f>AQ15</f>
        <v>335</v>
      </c>
      <c r="S15" s="315">
        <f t="shared" si="4"/>
        <v>0</v>
      </c>
      <c r="T15" s="106">
        <f>AS15</f>
        <v>520</v>
      </c>
      <c r="W15" s="854">
        <v>200</v>
      </c>
      <c r="X15" s="854">
        <v>200</v>
      </c>
      <c r="Y15" s="854">
        <v>248</v>
      </c>
      <c r="Z15" s="544"/>
      <c r="AA15" s="549">
        <f t="shared" si="0"/>
        <v>160</v>
      </c>
      <c r="AB15" s="549">
        <f t="shared" si="1"/>
        <v>160</v>
      </c>
      <c r="AC15" s="549">
        <f t="shared" si="2"/>
        <v>198.4</v>
      </c>
      <c r="AD15" s="546"/>
      <c r="AE15" s="977">
        <f t="shared" si="5"/>
        <v>335</v>
      </c>
      <c r="AF15" s="977">
        <f t="shared" si="6"/>
        <v>350</v>
      </c>
      <c r="AG15" s="977">
        <f t="shared" si="7"/>
        <v>415</v>
      </c>
      <c r="AH15" s="546"/>
      <c r="AI15" s="551">
        <v>200</v>
      </c>
      <c r="AJ15" s="551">
        <v>0</v>
      </c>
      <c r="AK15" s="551">
        <v>311</v>
      </c>
      <c r="AL15" s="547"/>
      <c r="AM15" s="549">
        <f t="shared" si="3"/>
        <v>160</v>
      </c>
      <c r="AN15" s="549">
        <f t="shared" si="3"/>
        <v>0</v>
      </c>
      <c r="AO15" s="549">
        <f t="shared" si="3"/>
        <v>248.8</v>
      </c>
      <c r="AP15" s="546"/>
      <c r="AQ15" s="550">
        <f t="shared" ref="AQ15" si="13">MROUND((AM15/((1-$AS$5)*(1-$AC$6))),5)</f>
        <v>335</v>
      </c>
      <c r="AR15" s="550">
        <f t="shared" ref="AR15" si="14">MROUND((AN15/((1-$AS$6)*(1-$AC$6))),5)</f>
        <v>0</v>
      </c>
      <c r="AS15" s="550">
        <f t="shared" ref="AS15" si="15">MROUND((AO15/((1-$AS$7)*(1-$AC$6))),5)</f>
        <v>520</v>
      </c>
    </row>
    <row r="16" spans="1:45" x14ac:dyDescent="0.25">
      <c r="E16" s="72"/>
      <c r="F16" s="72"/>
      <c r="G16" s="72"/>
      <c r="H16" s="72"/>
      <c r="I16" s="72"/>
      <c r="J16" s="72"/>
      <c r="K16" s="72"/>
      <c r="L16" s="72"/>
      <c r="M16" s="233"/>
      <c r="N16" s="234"/>
      <c r="O16" s="234"/>
      <c r="P16" s="234"/>
      <c r="Q16" s="234" t="s">
        <v>198</v>
      </c>
      <c r="R16" s="533">
        <f>$AE16</f>
        <v>410</v>
      </c>
      <c r="S16" s="235">
        <v>0</v>
      </c>
      <c r="T16" s="534">
        <f>$AG16</f>
        <v>560</v>
      </c>
      <c r="W16" s="548">
        <v>246</v>
      </c>
      <c r="X16" s="548">
        <v>246</v>
      </c>
      <c r="Y16" s="548">
        <v>335</v>
      </c>
      <c r="Z16" s="544"/>
      <c r="AA16" s="545">
        <f>(1-$AC$5)*W16</f>
        <v>196.8</v>
      </c>
      <c r="AB16" s="545">
        <f t="shared" si="1"/>
        <v>196.8</v>
      </c>
      <c r="AC16" s="545">
        <f t="shared" si="2"/>
        <v>268</v>
      </c>
      <c r="AD16" s="552"/>
      <c r="AE16" s="547">
        <f t="shared" si="5"/>
        <v>410</v>
      </c>
      <c r="AF16" s="547">
        <f t="shared" si="6"/>
        <v>430</v>
      </c>
      <c r="AG16" s="547">
        <f t="shared" si="7"/>
        <v>560</v>
      </c>
      <c r="AH16" s="552"/>
      <c r="AI16" s="553"/>
      <c r="AJ16" s="553"/>
      <c r="AK16" s="553"/>
      <c r="AL16" s="553"/>
      <c r="AM16" s="552"/>
      <c r="AN16" s="552"/>
      <c r="AO16" s="552"/>
      <c r="AP16" s="552"/>
      <c r="AQ16" s="552"/>
      <c r="AR16" s="552"/>
      <c r="AS16" s="552"/>
    </row>
    <row r="17" spans="5:45" x14ac:dyDescent="0.25">
      <c r="E17" t="s">
        <v>6</v>
      </c>
      <c r="F17" s="93">
        <v>7.010000000000001E-2</v>
      </c>
      <c r="G17" s="93">
        <v>0.15</v>
      </c>
      <c r="H17" s="90"/>
      <c r="I17" s="90"/>
      <c r="J17" s="90"/>
      <c r="K17" s="90"/>
      <c r="L17" s="90"/>
      <c r="M17" s="237" t="str">
        <f>_xlfn.CONCAT(TEXT($F17,"#.000#"),""""," to ",TEXT($G17,"#.000#"),"""")</f>
        <v>.0701" to .150"</v>
      </c>
      <c r="N17" s="1292" t="s">
        <v>491</v>
      </c>
      <c r="O17" s="1289">
        <v>0.9375</v>
      </c>
      <c r="P17" s="1289">
        <v>0.1875</v>
      </c>
      <c r="Q17" s="238" t="s">
        <v>197</v>
      </c>
      <c r="R17" s="328">
        <f t="shared" ref="R17:R63" si="16">$AE17</f>
        <v>325</v>
      </c>
      <c r="S17" s="239">
        <v>0</v>
      </c>
      <c r="T17" s="117">
        <f t="shared" ref="T17:T43" si="17">$AG17</f>
        <v>460</v>
      </c>
      <c r="W17" s="548">
        <v>194</v>
      </c>
      <c r="X17" s="548">
        <v>194</v>
      </c>
      <c r="Y17" s="548">
        <v>276</v>
      </c>
      <c r="Z17" s="544"/>
      <c r="AA17" s="545">
        <f t="shared" si="0"/>
        <v>155.20000000000002</v>
      </c>
      <c r="AB17" s="545">
        <f>(1-$AC$5)*X17</f>
        <v>155.20000000000002</v>
      </c>
      <c r="AC17" s="545">
        <f t="shared" si="2"/>
        <v>220.8</v>
      </c>
      <c r="AD17" s="552"/>
      <c r="AE17" s="547">
        <f t="shared" si="5"/>
        <v>325</v>
      </c>
      <c r="AF17" s="547">
        <f>MROUND(((AB17/((1-$AG$6)*(1-$AC$6)))*(1+$AC$7)),5)</f>
        <v>340</v>
      </c>
      <c r="AG17" s="547">
        <f t="shared" si="7"/>
        <v>460</v>
      </c>
      <c r="AH17" s="552"/>
      <c r="AI17" s="553"/>
      <c r="AJ17" s="553"/>
      <c r="AK17" s="553"/>
      <c r="AL17" s="553"/>
      <c r="AM17" s="552"/>
      <c r="AN17" s="552"/>
      <c r="AO17" s="552"/>
      <c r="AP17" s="552"/>
      <c r="AQ17" s="552"/>
      <c r="AR17" s="552"/>
      <c r="AS17" s="552"/>
    </row>
    <row r="18" spans="5:45" x14ac:dyDescent="0.25">
      <c r="E18" t="s">
        <v>576</v>
      </c>
      <c r="F18" s="94">
        <v>1.7809999999999999</v>
      </c>
      <c r="G18" s="94">
        <v>3.81</v>
      </c>
      <c r="H18" s="94"/>
      <c r="I18" s="94"/>
      <c r="J18" s="94"/>
      <c r="K18" s="94"/>
      <c r="L18" s="90"/>
      <c r="M18" s="237" t="str">
        <f>_xlfn.CONCAT(TEXT($F18,"0.00#"),"mm"," to ",TEXT($G18,"0.00#"),"mm")</f>
        <v>1.781mm to 3.81mm</v>
      </c>
      <c r="N18" s="1292"/>
      <c r="O18" s="1289"/>
      <c r="P18" s="1289"/>
      <c r="Q18" s="238" t="s">
        <v>209</v>
      </c>
      <c r="R18" s="328">
        <f t="shared" si="16"/>
        <v>315</v>
      </c>
      <c r="S18" s="239">
        <v>0</v>
      </c>
      <c r="T18" s="117">
        <f t="shared" si="17"/>
        <v>440</v>
      </c>
      <c r="W18" s="548">
        <v>188</v>
      </c>
      <c r="X18" s="548">
        <v>188</v>
      </c>
      <c r="Y18" s="548">
        <v>265</v>
      </c>
      <c r="Z18" s="544"/>
      <c r="AA18" s="545">
        <f t="shared" si="0"/>
        <v>150.4</v>
      </c>
      <c r="AB18" s="545">
        <f t="shared" si="1"/>
        <v>150.4</v>
      </c>
      <c r="AC18" s="545">
        <f t="shared" si="2"/>
        <v>212</v>
      </c>
      <c r="AD18" s="552"/>
      <c r="AE18" s="547">
        <f t="shared" si="5"/>
        <v>315</v>
      </c>
      <c r="AF18" s="547">
        <f t="shared" si="6"/>
        <v>330</v>
      </c>
      <c r="AG18" s="547">
        <f t="shared" si="7"/>
        <v>440</v>
      </c>
      <c r="AH18" s="552"/>
      <c r="AI18" s="553"/>
      <c r="AJ18" s="553"/>
      <c r="AK18" s="553"/>
      <c r="AL18" s="553"/>
      <c r="AM18" s="552"/>
      <c r="AN18" s="552"/>
      <c r="AO18" s="552"/>
      <c r="AP18" s="552"/>
      <c r="AQ18" s="552"/>
      <c r="AR18" s="552"/>
      <c r="AS18" s="552"/>
    </row>
    <row r="19" spans="5:45" x14ac:dyDescent="0.25">
      <c r="E19" s="72"/>
      <c r="F19" s="72"/>
      <c r="G19" s="72"/>
      <c r="H19" s="72"/>
      <c r="I19" s="72"/>
      <c r="J19" s="72"/>
      <c r="K19" s="72"/>
      <c r="L19" s="72"/>
      <c r="M19" s="241"/>
      <c r="N19" s="242"/>
      <c r="O19" s="242"/>
      <c r="P19" s="242"/>
      <c r="Q19" s="243" t="s">
        <v>196</v>
      </c>
      <c r="R19" s="328">
        <f t="shared" si="16"/>
        <v>305</v>
      </c>
      <c r="S19" s="239">
        <v>0</v>
      </c>
      <c r="T19" s="117">
        <f t="shared" si="17"/>
        <v>415</v>
      </c>
      <c r="W19" s="551">
        <v>182</v>
      </c>
      <c r="X19" s="551">
        <v>182</v>
      </c>
      <c r="Y19" s="551">
        <v>248</v>
      </c>
      <c r="Z19" s="544"/>
      <c r="AA19" s="549">
        <f t="shared" si="0"/>
        <v>145.6</v>
      </c>
      <c r="AB19" s="549">
        <f t="shared" si="1"/>
        <v>145.6</v>
      </c>
      <c r="AC19" s="549">
        <f t="shared" si="2"/>
        <v>198.4</v>
      </c>
      <c r="AD19" s="552"/>
      <c r="AE19" s="550">
        <f t="shared" si="5"/>
        <v>305</v>
      </c>
      <c r="AF19" s="550">
        <f t="shared" si="6"/>
        <v>320</v>
      </c>
      <c r="AG19" s="550">
        <f t="shared" si="7"/>
        <v>415</v>
      </c>
      <c r="AH19" s="552"/>
      <c r="AI19" s="553"/>
      <c r="AJ19" s="553"/>
      <c r="AK19" s="553"/>
      <c r="AL19" s="553"/>
      <c r="AM19" s="552"/>
      <c r="AN19" s="552"/>
      <c r="AO19" s="552"/>
      <c r="AP19" s="552"/>
      <c r="AQ19" s="552"/>
      <c r="AR19" s="552"/>
      <c r="AS19" s="552"/>
    </row>
    <row r="20" spans="5:45" x14ac:dyDescent="0.25">
      <c r="E20" s="72"/>
      <c r="F20" s="72"/>
      <c r="G20" s="72"/>
      <c r="H20" s="72"/>
      <c r="I20" s="72"/>
      <c r="J20" s="72"/>
      <c r="K20" s="72"/>
      <c r="L20" s="72"/>
      <c r="M20" s="225"/>
      <c r="N20" s="226"/>
      <c r="O20" s="226"/>
      <c r="P20" s="226"/>
      <c r="Q20" s="226" t="s">
        <v>198</v>
      </c>
      <c r="R20" s="531">
        <f t="shared" si="16"/>
        <v>310</v>
      </c>
      <c r="S20" s="531">
        <f>$AF20</f>
        <v>325</v>
      </c>
      <c r="T20" s="532">
        <f t="shared" si="17"/>
        <v>510</v>
      </c>
      <c r="W20" s="548">
        <v>187</v>
      </c>
      <c r="X20" s="548">
        <v>187</v>
      </c>
      <c r="Y20" s="548">
        <v>305</v>
      </c>
      <c r="Z20" s="544"/>
      <c r="AA20" s="545">
        <f t="shared" si="0"/>
        <v>149.6</v>
      </c>
      <c r="AB20" s="545">
        <f>(1-$AC$5)*X20</f>
        <v>149.6</v>
      </c>
      <c r="AC20" s="545">
        <f t="shared" si="2"/>
        <v>244</v>
      </c>
      <c r="AD20" s="552"/>
      <c r="AE20" s="547">
        <f t="shared" si="5"/>
        <v>310</v>
      </c>
      <c r="AF20" s="547">
        <f>MROUND(((AB20/((1-$AG$6)*(1-$AC$6)))*(1+$AC$7)),5)</f>
        <v>325</v>
      </c>
      <c r="AG20" s="547">
        <f t="shared" si="7"/>
        <v>510</v>
      </c>
      <c r="AH20" s="552"/>
      <c r="AI20" s="553"/>
      <c r="AJ20" s="553"/>
      <c r="AK20" s="553"/>
      <c r="AL20" s="553"/>
      <c r="AM20" s="552"/>
      <c r="AN20" s="552"/>
      <c r="AO20" s="552"/>
      <c r="AP20" s="552"/>
      <c r="AQ20" s="552"/>
      <c r="AR20" s="552"/>
      <c r="AS20" s="552"/>
    </row>
    <row r="21" spans="5:45" x14ac:dyDescent="0.25">
      <c r="E21" t="s">
        <v>6</v>
      </c>
      <c r="F21" s="93">
        <v>0.15009999999999998</v>
      </c>
      <c r="G21" s="93">
        <v>0.23</v>
      </c>
      <c r="H21" s="90"/>
      <c r="I21" s="90"/>
      <c r="J21" s="90"/>
      <c r="K21" s="90"/>
      <c r="L21" s="90"/>
      <c r="M21" s="244" t="str">
        <f>_xlfn.CONCAT(TEXT($F21,"#.000#"),""""," to ",TEXT($G21,"#.000#"),"""")</f>
        <v>.1501" to .230"</v>
      </c>
      <c r="N21" s="1291">
        <v>0</v>
      </c>
      <c r="O21" s="1290">
        <v>0.9375</v>
      </c>
      <c r="P21" s="1290">
        <v>0.375</v>
      </c>
      <c r="Q21" s="229" t="s">
        <v>197</v>
      </c>
      <c r="R21" s="315">
        <f t="shared" si="16"/>
        <v>270</v>
      </c>
      <c r="S21" s="315">
        <f t="shared" ref="S21:S63" si="18">$AF21</f>
        <v>285</v>
      </c>
      <c r="T21" s="106">
        <f t="shared" si="17"/>
        <v>440</v>
      </c>
      <c r="W21" s="548">
        <v>163</v>
      </c>
      <c r="X21" s="548">
        <v>163</v>
      </c>
      <c r="Y21" s="548">
        <v>265</v>
      </c>
      <c r="Z21" s="544"/>
      <c r="AA21" s="545">
        <f t="shared" si="0"/>
        <v>130.4</v>
      </c>
      <c r="AB21" s="545">
        <f t="shared" si="1"/>
        <v>130.4</v>
      </c>
      <c r="AC21" s="545">
        <f t="shared" si="2"/>
        <v>212</v>
      </c>
      <c r="AD21" s="552"/>
      <c r="AE21" s="547">
        <f t="shared" si="5"/>
        <v>270</v>
      </c>
      <c r="AF21" s="547">
        <f t="shared" si="6"/>
        <v>285</v>
      </c>
      <c r="AG21" s="547">
        <f t="shared" si="7"/>
        <v>440</v>
      </c>
      <c r="AH21" s="552"/>
      <c r="AI21" s="553"/>
      <c r="AJ21" s="553"/>
      <c r="AK21" s="553"/>
      <c r="AL21" s="553"/>
      <c r="AM21" s="552"/>
      <c r="AN21" s="552"/>
      <c r="AO21" s="552"/>
      <c r="AP21" s="552"/>
      <c r="AQ21" s="552"/>
      <c r="AR21" s="552"/>
      <c r="AS21" s="552"/>
    </row>
    <row r="22" spans="5:45" x14ac:dyDescent="0.25">
      <c r="E22" t="s">
        <v>576</v>
      </c>
      <c r="F22" s="94">
        <v>3.8109999999999999</v>
      </c>
      <c r="G22" s="94">
        <v>5.84</v>
      </c>
      <c r="H22" s="94"/>
      <c r="I22" s="94"/>
      <c r="J22" s="94"/>
      <c r="K22" s="94"/>
      <c r="L22" s="90"/>
      <c r="M22" s="244" t="str">
        <f>_xlfn.CONCAT(TEXT($F22,"0.00#"),"mm"," to ",TEXT($G22,"0.00#"),"mm")</f>
        <v>3.811mm to 5.84mm</v>
      </c>
      <c r="N22" s="1291"/>
      <c r="O22" s="1290"/>
      <c r="P22" s="1290"/>
      <c r="Q22" s="229" t="s">
        <v>209</v>
      </c>
      <c r="R22" s="315">
        <f t="shared" si="16"/>
        <v>255</v>
      </c>
      <c r="S22" s="315">
        <f t="shared" si="18"/>
        <v>265</v>
      </c>
      <c r="T22" s="106">
        <f t="shared" si="17"/>
        <v>430</v>
      </c>
      <c r="W22" s="548">
        <v>152</v>
      </c>
      <c r="X22" s="548">
        <v>152</v>
      </c>
      <c r="Y22" s="548">
        <v>258</v>
      </c>
      <c r="Z22" s="544"/>
      <c r="AA22" s="545">
        <f t="shared" si="0"/>
        <v>121.60000000000001</v>
      </c>
      <c r="AB22" s="545">
        <f t="shared" si="1"/>
        <v>121.60000000000001</v>
      </c>
      <c r="AC22" s="545">
        <f t="shared" si="2"/>
        <v>206.4</v>
      </c>
      <c r="AD22" s="552"/>
      <c r="AE22" s="547">
        <f t="shared" si="5"/>
        <v>255</v>
      </c>
      <c r="AF22" s="547">
        <f t="shared" si="6"/>
        <v>265</v>
      </c>
      <c r="AG22" s="547">
        <f t="shared" si="7"/>
        <v>430</v>
      </c>
      <c r="AH22" s="552"/>
      <c r="AI22" s="553"/>
      <c r="AJ22" s="553"/>
      <c r="AK22" s="553"/>
      <c r="AL22" s="553"/>
      <c r="AM22" s="552"/>
      <c r="AN22" s="552"/>
      <c r="AO22" s="552"/>
      <c r="AP22" s="552"/>
      <c r="AQ22" s="552"/>
      <c r="AR22" s="552"/>
      <c r="AS22" s="552"/>
    </row>
    <row r="23" spans="5:45" x14ac:dyDescent="0.25">
      <c r="E23" s="72"/>
      <c r="F23" s="72"/>
      <c r="G23" s="72"/>
      <c r="H23" s="72"/>
      <c r="I23" s="72"/>
      <c r="J23" s="72"/>
      <c r="K23" s="72"/>
      <c r="L23" s="72"/>
      <c r="M23" s="230"/>
      <c r="N23" s="231"/>
      <c r="O23" s="231"/>
      <c r="P23" s="231"/>
      <c r="Q23" s="232" t="s">
        <v>196</v>
      </c>
      <c r="R23" s="315">
        <f t="shared" si="16"/>
        <v>235</v>
      </c>
      <c r="S23" s="315">
        <f t="shared" si="18"/>
        <v>245</v>
      </c>
      <c r="T23" s="106">
        <f t="shared" si="17"/>
        <v>405</v>
      </c>
      <c r="W23" s="551">
        <v>140</v>
      </c>
      <c r="X23" s="551">
        <v>140</v>
      </c>
      <c r="Y23" s="551">
        <v>242</v>
      </c>
      <c r="Z23" s="544"/>
      <c r="AA23" s="549">
        <f t="shared" si="0"/>
        <v>112</v>
      </c>
      <c r="AB23" s="549">
        <f t="shared" si="1"/>
        <v>112</v>
      </c>
      <c r="AC23" s="549">
        <f t="shared" si="2"/>
        <v>193.60000000000002</v>
      </c>
      <c r="AD23" s="552"/>
      <c r="AE23" s="550">
        <f t="shared" si="5"/>
        <v>235</v>
      </c>
      <c r="AF23" s="550">
        <f t="shared" si="6"/>
        <v>245</v>
      </c>
      <c r="AG23" s="550">
        <f t="shared" si="7"/>
        <v>405</v>
      </c>
      <c r="AH23" s="552"/>
      <c r="AI23" s="553"/>
      <c r="AJ23" s="553"/>
      <c r="AK23" s="553"/>
      <c r="AL23" s="553"/>
      <c r="AM23" s="552"/>
      <c r="AN23" s="552"/>
      <c r="AO23" s="552"/>
      <c r="AP23" s="552"/>
      <c r="AQ23" s="552"/>
      <c r="AR23" s="552"/>
      <c r="AS23" s="552"/>
    </row>
    <row r="24" spans="5:45" x14ac:dyDescent="0.25">
      <c r="E24" s="72"/>
      <c r="F24" s="72"/>
      <c r="G24" s="72"/>
      <c r="H24" s="72"/>
      <c r="I24" s="72"/>
      <c r="J24" s="72"/>
      <c r="K24" s="72"/>
      <c r="L24" s="72"/>
      <c r="M24" s="233"/>
      <c r="N24" s="234"/>
      <c r="O24" s="234"/>
      <c r="P24" s="234"/>
      <c r="Q24" s="234" t="s">
        <v>198</v>
      </c>
      <c r="R24" s="533">
        <f t="shared" si="16"/>
        <v>285</v>
      </c>
      <c r="S24" s="533">
        <f t="shared" si="18"/>
        <v>300</v>
      </c>
      <c r="T24" s="534">
        <f t="shared" si="17"/>
        <v>500</v>
      </c>
      <c r="W24" s="548">
        <v>170</v>
      </c>
      <c r="X24" s="548">
        <v>170</v>
      </c>
      <c r="Y24" s="548">
        <v>300</v>
      </c>
      <c r="Z24" s="544"/>
      <c r="AA24" s="545">
        <f t="shared" si="0"/>
        <v>136</v>
      </c>
      <c r="AB24" s="545">
        <f t="shared" si="1"/>
        <v>136</v>
      </c>
      <c r="AC24" s="545">
        <f t="shared" si="2"/>
        <v>240</v>
      </c>
      <c r="AD24" s="552"/>
      <c r="AE24" s="547">
        <f t="shared" si="5"/>
        <v>285</v>
      </c>
      <c r="AF24" s="547">
        <f t="shared" si="6"/>
        <v>300</v>
      </c>
      <c r="AG24" s="547">
        <f t="shared" si="7"/>
        <v>500</v>
      </c>
      <c r="AH24" s="552"/>
      <c r="AI24" s="553"/>
      <c r="AJ24" s="553"/>
      <c r="AK24" s="553"/>
      <c r="AL24" s="553"/>
      <c r="AM24" s="552"/>
      <c r="AN24" s="552"/>
      <c r="AO24" s="552"/>
      <c r="AP24" s="552"/>
      <c r="AQ24" s="552"/>
      <c r="AR24" s="552"/>
      <c r="AS24" s="552"/>
    </row>
    <row r="25" spans="5:45" x14ac:dyDescent="0.25">
      <c r="E25" t="s">
        <v>6</v>
      </c>
      <c r="F25" s="93">
        <v>0.2301</v>
      </c>
      <c r="G25" s="93">
        <v>0.36499999999999999</v>
      </c>
      <c r="H25" s="90"/>
      <c r="I25" s="90"/>
      <c r="J25" s="90"/>
      <c r="K25" s="90"/>
      <c r="L25" s="90"/>
      <c r="M25" s="237" t="str">
        <f>_xlfn.CONCAT(TEXT($F25,"#.000#"),""""," to ",TEXT($G25,"#.000#"),"""")</f>
        <v>.2301" to .365"</v>
      </c>
      <c r="N25" s="1292">
        <v>1</v>
      </c>
      <c r="O25" s="1289">
        <v>1.125</v>
      </c>
      <c r="P25" s="1289">
        <v>0.5625</v>
      </c>
      <c r="Q25" s="238" t="s">
        <v>197</v>
      </c>
      <c r="R25" s="328">
        <f t="shared" si="16"/>
        <v>240</v>
      </c>
      <c r="S25" s="328">
        <f t="shared" si="18"/>
        <v>255</v>
      </c>
      <c r="T25" s="117">
        <f t="shared" si="17"/>
        <v>425</v>
      </c>
      <c r="W25" s="548">
        <v>145</v>
      </c>
      <c r="X25" s="548">
        <v>145</v>
      </c>
      <c r="Y25" s="548">
        <v>254</v>
      </c>
      <c r="Z25" s="544"/>
      <c r="AA25" s="545">
        <f t="shared" si="0"/>
        <v>116</v>
      </c>
      <c r="AB25" s="545">
        <f t="shared" si="1"/>
        <v>116</v>
      </c>
      <c r="AC25" s="545">
        <f t="shared" si="2"/>
        <v>203.20000000000002</v>
      </c>
      <c r="AD25" s="552"/>
      <c r="AE25" s="547">
        <f t="shared" si="5"/>
        <v>240</v>
      </c>
      <c r="AF25" s="547">
        <f t="shared" si="6"/>
        <v>255</v>
      </c>
      <c r="AG25" s="547">
        <f t="shared" si="7"/>
        <v>425</v>
      </c>
      <c r="AH25" s="552"/>
      <c r="AI25" s="553"/>
      <c r="AJ25" s="553"/>
      <c r="AK25" s="553"/>
      <c r="AL25" s="553"/>
      <c r="AM25" s="552"/>
      <c r="AN25" s="552"/>
      <c r="AO25" s="552"/>
      <c r="AP25" s="552"/>
      <c r="AQ25" s="552"/>
      <c r="AR25" s="552"/>
      <c r="AS25" s="552"/>
    </row>
    <row r="26" spans="5:45" x14ac:dyDescent="0.25">
      <c r="E26" t="s">
        <v>576</v>
      </c>
      <c r="F26" s="94">
        <v>5.8410000000000002</v>
      </c>
      <c r="G26" s="94">
        <v>9.27</v>
      </c>
      <c r="H26" s="94"/>
      <c r="I26" s="94"/>
      <c r="J26" s="94"/>
      <c r="K26" s="94"/>
      <c r="L26" s="90"/>
      <c r="M26" s="237" t="str">
        <f>_xlfn.CONCAT(TEXT($F26,"0.00#"),"mm"," to ",TEXT($G26,"0.00#"),"mm")</f>
        <v>5.841mm to 9.27mm</v>
      </c>
      <c r="N26" s="1292"/>
      <c r="O26" s="1289"/>
      <c r="P26" s="1289"/>
      <c r="Q26" s="238" t="s">
        <v>209</v>
      </c>
      <c r="R26" s="328">
        <f t="shared" si="16"/>
        <v>225</v>
      </c>
      <c r="S26" s="328">
        <f t="shared" si="18"/>
        <v>235</v>
      </c>
      <c r="T26" s="117">
        <f t="shared" si="17"/>
        <v>405</v>
      </c>
      <c r="W26" s="548">
        <v>135</v>
      </c>
      <c r="X26" s="548">
        <v>135</v>
      </c>
      <c r="Y26" s="548">
        <v>242</v>
      </c>
      <c r="Z26" s="544"/>
      <c r="AA26" s="545">
        <f t="shared" si="0"/>
        <v>108</v>
      </c>
      <c r="AB26" s="545">
        <f t="shared" si="1"/>
        <v>108</v>
      </c>
      <c r="AC26" s="545">
        <f t="shared" si="2"/>
        <v>193.60000000000002</v>
      </c>
      <c r="AD26" s="552"/>
      <c r="AE26" s="547">
        <f t="shared" si="5"/>
        <v>225</v>
      </c>
      <c r="AF26" s="547">
        <f t="shared" si="6"/>
        <v>235</v>
      </c>
      <c r="AG26" s="547">
        <f t="shared" si="7"/>
        <v>405</v>
      </c>
      <c r="AH26" s="552"/>
      <c r="AI26" s="553"/>
      <c r="AJ26" s="553"/>
      <c r="AK26" s="553"/>
      <c r="AL26" s="553"/>
      <c r="AM26" s="552"/>
      <c r="AN26" s="552"/>
      <c r="AO26" s="552"/>
      <c r="AP26" s="552"/>
      <c r="AQ26" s="552"/>
      <c r="AR26" s="552"/>
      <c r="AS26" s="552"/>
    </row>
    <row r="27" spans="5:45" x14ac:dyDescent="0.25">
      <c r="E27" s="72"/>
      <c r="F27" s="94"/>
      <c r="G27" s="94"/>
      <c r="H27" s="94"/>
      <c r="I27" s="94"/>
      <c r="J27" s="94"/>
      <c r="K27" s="94"/>
      <c r="L27" s="72"/>
      <c r="M27" s="241"/>
      <c r="N27" s="242"/>
      <c r="O27" s="242"/>
      <c r="P27" s="242"/>
      <c r="Q27" s="243" t="s">
        <v>196</v>
      </c>
      <c r="R27" s="328">
        <f t="shared" si="16"/>
        <v>210</v>
      </c>
      <c r="S27" s="328">
        <f t="shared" si="18"/>
        <v>220</v>
      </c>
      <c r="T27" s="117">
        <f t="shared" si="17"/>
        <v>385</v>
      </c>
      <c r="W27" s="551">
        <v>125</v>
      </c>
      <c r="X27" s="551">
        <v>125</v>
      </c>
      <c r="Y27" s="551">
        <v>230</v>
      </c>
      <c r="Z27" s="544"/>
      <c r="AA27" s="549">
        <f t="shared" si="0"/>
        <v>100</v>
      </c>
      <c r="AB27" s="549">
        <f t="shared" si="1"/>
        <v>100</v>
      </c>
      <c r="AC27" s="549">
        <f t="shared" si="2"/>
        <v>184</v>
      </c>
      <c r="AD27" s="552"/>
      <c r="AE27" s="550">
        <f t="shared" si="5"/>
        <v>210</v>
      </c>
      <c r="AF27" s="550">
        <f t="shared" si="6"/>
        <v>220</v>
      </c>
      <c r="AG27" s="550">
        <f t="shared" si="7"/>
        <v>385</v>
      </c>
      <c r="AH27" s="552"/>
      <c r="AI27" s="553"/>
      <c r="AJ27" s="553"/>
      <c r="AK27" s="553"/>
      <c r="AL27" s="553"/>
      <c r="AM27" s="552"/>
      <c r="AN27" s="552"/>
      <c r="AO27" s="552"/>
      <c r="AP27" s="552"/>
      <c r="AQ27" s="552"/>
      <c r="AR27" s="552"/>
      <c r="AS27" s="552"/>
    </row>
    <row r="28" spans="5:45" x14ac:dyDescent="0.25">
      <c r="E28" s="72"/>
      <c r="F28" s="72"/>
      <c r="G28" s="72"/>
      <c r="H28" s="72"/>
      <c r="I28" s="72"/>
      <c r="J28" s="72"/>
      <c r="K28" s="72"/>
      <c r="L28" s="72"/>
      <c r="M28" s="225"/>
      <c r="N28" s="226"/>
      <c r="O28" s="226"/>
      <c r="P28" s="226"/>
      <c r="Q28" s="226" t="s">
        <v>198</v>
      </c>
      <c r="R28" s="531">
        <f t="shared" si="16"/>
        <v>285</v>
      </c>
      <c r="S28" s="531">
        <f t="shared" si="18"/>
        <v>300</v>
      </c>
      <c r="T28" s="532">
        <f t="shared" si="17"/>
        <v>525</v>
      </c>
      <c r="W28" s="548">
        <v>172</v>
      </c>
      <c r="X28" s="548">
        <v>172</v>
      </c>
      <c r="Y28" s="548">
        <v>315</v>
      </c>
      <c r="Z28" s="544"/>
      <c r="AA28" s="545">
        <f t="shared" si="0"/>
        <v>137.6</v>
      </c>
      <c r="AB28" s="545">
        <f t="shared" si="1"/>
        <v>137.6</v>
      </c>
      <c r="AC28" s="545">
        <f t="shared" si="2"/>
        <v>252</v>
      </c>
      <c r="AD28" s="552"/>
      <c r="AE28" s="547">
        <f t="shared" si="5"/>
        <v>285</v>
      </c>
      <c r="AF28" s="547">
        <f t="shared" si="6"/>
        <v>300</v>
      </c>
      <c r="AG28" s="547">
        <f t="shared" si="7"/>
        <v>525</v>
      </c>
      <c r="AH28" s="552"/>
      <c r="AI28" s="553"/>
      <c r="AJ28" s="553"/>
      <c r="AK28" s="553"/>
      <c r="AL28" s="553"/>
      <c r="AM28" s="552"/>
      <c r="AN28" s="552"/>
      <c r="AO28" s="552"/>
      <c r="AP28" s="552"/>
      <c r="AQ28" s="552"/>
      <c r="AR28" s="552"/>
      <c r="AS28" s="552"/>
    </row>
    <row r="29" spans="5:45" x14ac:dyDescent="0.25">
      <c r="E29" t="s">
        <v>6</v>
      </c>
      <c r="F29" s="93">
        <v>0.36509999999999998</v>
      </c>
      <c r="G29" s="93">
        <v>0.51</v>
      </c>
      <c r="H29" s="90"/>
      <c r="I29" s="90"/>
      <c r="J29" s="90"/>
      <c r="K29" s="90"/>
      <c r="L29" s="90"/>
      <c r="M29" s="244" t="str">
        <f>_xlfn.CONCAT(TEXT($F29,"#.000#"),""""," to ",TEXT($G29,"#.000#"),"""")</f>
        <v>.3651" to .510"</v>
      </c>
      <c r="N29" s="1291">
        <v>2</v>
      </c>
      <c r="O29" s="1290">
        <v>1.375</v>
      </c>
      <c r="P29" s="1290">
        <v>0.75</v>
      </c>
      <c r="Q29" s="229" t="s">
        <v>197</v>
      </c>
      <c r="R29" s="315">
        <f t="shared" si="16"/>
        <v>240</v>
      </c>
      <c r="S29" s="315">
        <f t="shared" si="18"/>
        <v>255</v>
      </c>
      <c r="T29" s="106">
        <f t="shared" si="17"/>
        <v>485</v>
      </c>
      <c r="W29" s="548">
        <v>145</v>
      </c>
      <c r="X29" s="548">
        <v>145</v>
      </c>
      <c r="Y29" s="548">
        <v>292</v>
      </c>
      <c r="Z29" s="544"/>
      <c r="AA29" s="545">
        <f t="shared" si="0"/>
        <v>116</v>
      </c>
      <c r="AB29" s="545">
        <f t="shared" si="1"/>
        <v>116</v>
      </c>
      <c r="AC29" s="545">
        <f t="shared" si="2"/>
        <v>233.60000000000002</v>
      </c>
      <c r="AD29" s="552"/>
      <c r="AE29" s="547">
        <f t="shared" si="5"/>
        <v>240</v>
      </c>
      <c r="AF29" s="547">
        <f>MROUND(((AB29/((1-$AG$6)*(1-$AC$6)))*(1+$AC$7)),5)</f>
        <v>255</v>
      </c>
      <c r="AG29" s="547">
        <f t="shared" si="7"/>
        <v>485</v>
      </c>
      <c r="AH29" s="552"/>
      <c r="AI29" s="553"/>
      <c r="AJ29" s="553"/>
      <c r="AK29" s="553"/>
      <c r="AL29" s="553"/>
      <c r="AM29" s="552"/>
      <c r="AN29" s="552"/>
      <c r="AO29" s="552"/>
      <c r="AP29" s="552"/>
      <c r="AQ29" s="552"/>
      <c r="AR29" s="552"/>
      <c r="AS29" s="552"/>
    </row>
    <row r="30" spans="5:45" x14ac:dyDescent="0.25">
      <c r="E30" t="s">
        <v>576</v>
      </c>
      <c r="F30" s="94">
        <v>9.270999999999999</v>
      </c>
      <c r="G30" s="94">
        <v>12.95</v>
      </c>
      <c r="H30" s="94"/>
      <c r="I30" s="94"/>
      <c r="J30" s="94"/>
      <c r="K30" s="94"/>
      <c r="L30" s="90"/>
      <c r="M30" s="244" t="str">
        <f>_xlfn.CONCAT(TEXT($F30,"0.00#"),"mm"," to ",TEXT($G30,"0.00#"),"mm")</f>
        <v>9.271mm to 12.95mm</v>
      </c>
      <c r="N30" s="1291"/>
      <c r="O30" s="1290"/>
      <c r="P30" s="1290"/>
      <c r="Q30" s="229" t="s">
        <v>209</v>
      </c>
      <c r="R30" s="315">
        <f t="shared" si="16"/>
        <v>225</v>
      </c>
      <c r="S30" s="315">
        <f t="shared" si="18"/>
        <v>235</v>
      </c>
      <c r="T30" s="106">
        <f t="shared" si="17"/>
        <v>455</v>
      </c>
      <c r="W30" s="548">
        <v>135</v>
      </c>
      <c r="X30" s="548">
        <v>135</v>
      </c>
      <c r="Y30" s="548">
        <v>272</v>
      </c>
      <c r="Z30" s="544"/>
      <c r="AA30" s="545">
        <f t="shared" si="0"/>
        <v>108</v>
      </c>
      <c r="AB30" s="545">
        <f t="shared" si="1"/>
        <v>108</v>
      </c>
      <c r="AC30" s="545">
        <f t="shared" si="2"/>
        <v>217.60000000000002</v>
      </c>
      <c r="AD30" s="552"/>
      <c r="AE30" s="547">
        <f t="shared" si="5"/>
        <v>225</v>
      </c>
      <c r="AF30" s="547">
        <f t="shared" si="6"/>
        <v>235</v>
      </c>
      <c r="AG30" s="547">
        <f t="shared" si="7"/>
        <v>455</v>
      </c>
      <c r="AH30" s="552"/>
      <c r="AI30" s="553"/>
      <c r="AJ30" s="553"/>
      <c r="AK30" s="553"/>
      <c r="AL30" s="553"/>
      <c r="AM30" s="552"/>
      <c r="AN30" s="552"/>
      <c r="AO30" s="552"/>
      <c r="AP30" s="552"/>
      <c r="AQ30" s="552"/>
      <c r="AR30" s="552"/>
      <c r="AS30" s="552"/>
    </row>
    <row r="31" spans="5:45" x14ac:dyDescent="0.25">
      <c r="E31" s="72"/>
      <c r="F31" s="72"/>
      <c r="G31" s="72"/>
      <c r="H31" s="72"/>
      <c r="I31" s="72"/>
      <c r="J31" s="72"/>
      <c r="K31" s="72"/>
      <c r="L31" s="72"/>
      <c r="M31" s="230"/>
      <c r="N31" s="231"/>
      <c r="O31" s="231"/>
      <c r="P31" s="231"/>
      <c r="Q31" s="232" t="s">
        <v>196</v>
      </c>
      <c r="R31" s="315">
        <f t="shared" si="16"/>
        <v>210</v>
      </c>
      <c r="S31" s="315">
        <f t="shared" si="18"/>
        <v>220</v>
      </c>
      <c r="T31" s="106">
        <f t="shared" si="17"/>
        <v>430</v>
      </c>
      <c r="W31" s="551">
        <v>125</v>
      </c>
      <c r="X31" s="551">
        <v>125</v>
      </c>
      <c r="Y31" s="551">
        <v>258</v>
      </c>
      <c r="Z31" s="544"/>
      <c r="AA31" s="549">
        <f t="shared" si="0"/>
        <v>100</v>
      </c>
      <c r="AB31" s="549">
        <f t="shared" si="1"/>
        <v>100</v>
      </c>
      <c r="AC31" s="549">
        <f t="shared" si="2"/>
        <v>206.4</v>
      </c>
      <c r="AD31" s="552"/>
      <c r="AE31" s="550">
        <f t="shared" si="5"/>
        <v>210</v>
      </c>
      <c r="AF31" s="550">
        <f t="shared" si="6"/>
        <v>220</v>
      </c>
      <c r="AG31" s="550">
        <f t="shared" si="7"/>
        <v>430</v>
      </c>
      <c r="AH31" s="552"/>
      <c r="AI31" s="553"/>
      <c r="AJ31" s="553"/>
      <c r="AK31" s="553"/>
      <c r="AL31" s="553"/>
      <c r="AM31" s="552"/>
      <c r="AN31" s="552"/>
      <c r="AO31" s="552"/>
      <c r="AP31" s="552"/>
      <c r="AQ31" s="552"/>
      <c r="AR31" s="552"/>
      <c r="AS31" s="552"/>
    </row>
    <row r="32" spans="5:45" x14ac:dyDescent="0.25">
      <c r="E32" s="72"/>
      <c r="F32" s="72"/>
      <c r="G32" s="72"/>
      <c r="H32" s="72"/>
      <c r="I32" s="72"/>
      <c r="J32" s="72"/>
      <c r="K32" s="72"/>
      <c r="L32" s="72"/>
      <c r="M32" s="233"/>
      <c r="N32" s="234"/>
      <c r="O32" s="234"/>
      <c r="P32" s="234"/>
      <c r="Q32" s="234" t="s">
        <v>198</v>
      </c>
      <c r="R32" s="533">
        <f t="shared" si="16"/>
        <v>295</v>
      </c>
      <c r="S32" s="533">
        <f t="shared" si="18"/>
        <v>310</v>
      </c>
      <c r="T32" s="534">
        <f t="shared" si="17"/>
        <v>560</v>
      </c>
      <c r="W32" s="548">
        <v>177</v>
      </c>
      <c r="X32" s="548">
        <v>177</v>
      </c>
      <c r="Y32" s="548">
        <v>335</v>
      </c>
      <c r="Z32" s="544"/>
      <c r="AA32" s="545">
        <f t="shared" si="0"/>
        <v>141.6</v>
      </c>
      <c r="AB32" s="545">
        <f t="shared" si="1"/>
        <v>141.6</v>
      </c>
      <c r="AC32" s="545">
        <f t="shared" si="2"/>
        <v>268</v>
      </c>
      <c r="AD32" s="552"/>
      <c r="AE32" s="547">
        <f t="shared" si="5"/>
        <v>295</v>
      </c>
      <c r="AF32" s="547">
        <f t="shared" si="6"/>
        <v>310</v>
      </c>
      <c r="AG32" s="547">
        <f t="shared" si="7"/>
        <v>560</v>
      </c>
      <c r="AH32" s="552"/>
      <c r="AI32" s="553"/>
      <c r="AJ32" s="553"/>
      <c r="AK32" s="553"/>
      <c r="AL32" s="553"/>
      <c r="AM32" s="552"/>
      <c r="AN32" s="552"/>
      <c r="AO32" s="552"/>
      <c r="AP32" s="552"/>
      <c r="AQ32" s="552"/>
      <c r="AR32" s="552"/>
      <c r="AS32" s="552"/>
    </row>
    <row r="33" spans="1:45" x14ac:dyDescent="0.25">
      <c r="E33" t="s">
        <v>6</v>
      </c>
      <c r="F33" s="93">
        <v>0.5101</v>
      </c>
      <c r="G33" s="93">
        <v>0.82499999999999996</v>
      </c>
      <c r="H33" s="90"/>
      <c r="I33" s="90"/>
      <c r="J33" s="90"/>
      <c r="K33" s="90"/>
      <c r="L33" s="90"/>
      <c r="M33" s="237" t="str">
        <f>_xlfn.CONCAT(TEXT($F33,"#.000#"),""""," to ",TEXT($G33,"#.000#"),"""")</f>
        <v>.5101" to .825"</v>
      </c>
      <c r="N33" s="1292">
        <v>3</v>
      </c>
      <c r="O33" s="1289">
        <v>1.75</v>
      </c>
      <c r="P33" s="1289">
        <v>0.9375</v>
      </c>
      <c r="Q33" s="238" t="s">
        <v>197</v>
      </c>
      <c r="R33" s="328">
        <f t="shared" si="16"/>
        <v>260</v>
      </c>
      <c r="S33" s="328">
        <f t="shared" si="18"/>
        <v>270</v>
      </c>
      <c r="T33" s="117">
        <f t="shared" si="17"/>
        <v>520</v>
      </c>
      <c r="W33" s="548">
        <v>155</v>
      </c>
      <c r="X33" s="548">
        <v>155</v>
      </c>
      <c r="Y33" s="548">
        <v>312</v>
      </c>
      <c r="Z33" s="544"/>
      <c r="AA33" s="545">
        <f t="shared" si="0"/>
        <v>124</v>
      </c>
      <c r="AB33" s="545">
        <f t="shared" si="1"/>
        <v>124</v>
      </c>
      <c r="AC33" s="545">
        <f t="shared" si="2"/>
        <v>249.60000000000002</v>
      </c>
      <c r="AD33" s="552"/>
      <c r="AE33" s="547">
        <f t="shared" si="5"/>
        <v>260</v>
      </c>
      <c r="AF33" s="547">
        <f t="shared" si="6"/>
        <v>270</v>
      </c>
      <c r="AG33" s="547">
        <f t="shared" si="7"/>
        <v>520</v>
      </c>
      <c r="AH33" s="552"/>
      <c r="AI33" s="553"/>
      <c r="AJ33" s="553"/>
      <c r="AK33" s="553"/>
      <c r="AL33" s="553"/>
      <c r="AM33" s="552"/>
      <c r="AN33" s="552"/>
      <c r="AO33" s="552"/>
      <c r="AP33" s="552"/>
      <c r="AQ33" s="552"/>
      <c r="AR33" s="552"/>
      <c r="AS33" s="552"/>
    </row>
    <row r="34" spans="1:45" x14ac:dyDescent="0.25">
      <c r="E34" t="s">
        <v>576</v>
      </c>
      <c r="F34" s="94">
        <v>12.950999999999999</v>
      </c>
      <c r="G34" s="94">
        <v>20.96</v>
      </c>
      <c r="H34" s="94"/>
      <c r="I34" s="94"/>
      <c r="J34" s="94"/>
      <c r="K34" s="94"/>
      <c r="L34" s="90"/>
      <c r="M34" s="245" t="str">
        <f>_xlfn.CONCAT(TEXT($F34,"0.00#"),"mm"," to ",TEXT($G34,"0.00#"),"mm")</f>
        <v>12.951mm to 20.96mm</v>
      </c>
      <c r="N34" s="1292"/>
      <c r="O34" s="1289"/>
      <c r="P34" s="1289"/>
      <c r="Q34" s="238" t="s">
        <v>209</v>
      </c>
      <c r="R34" s="328">
        <f t="shared" si="16"/>
        <v>235</v>
      </c>
      <c r="S34" s="328">
        <f t="shared" si="18"/>
        <v>250</v>
      </c>
      <c r="T34" s="117">
        <f t="shared" si="17"/>
        <v>510</v>
      </c>
      <c r="W34" s="548">
        <v>142</v>
      </c>
      <c r="X34" s="548">
        <v>142</v>
      </c>
      <c r="Y34" s="548">
        <v>305</v>
      </c>
      <c r="Z34" s="544"/>
      <c r="AA34" s="545">
        <f t="shared" si="0"/>
        <v>113.60000000000001</v>
      </c>
      <c r="AB34" s="545">
        <f t="shared" si="1"/>
        <v>113.60000000000001</v>
      </c>
      <c r="AC34" s="545">
        <f t="shared" si="2"/>
        <v>244</v>
      </c>
      <c r="AD34" s="552"/>
      <c r="AE34" s="547">
        <f t="shared" si="5"/>
        <v>235</v>
      </c>
      <c r="AF34" s="547">
        <f t="shared" si="6"/>
        <v>250</v>
      </c>
      <c r="AG34" s="547">
        <f t="shared" si="7"/>
        <v>510</v>
      </c>
      <c r="AH34" s="552"/>
      <c r="AI34" s="553"/>
      <c r="AJ34" s="553"/>
      <c r="AK34" s="553"/>
      <c r="AL34" s="553"/>
      <c r="AM34" s="552"/>
      <c r="AN34" s="552"/>
      <c r="AO34" s="552"/>
      <c r="AP34" s="552"/>
      <c r="AQ34" s="552"/>
      <c r="AR34" s="552"/>
      <c r="AS34" s="552"/>
    </row>
    <row r="35" spans="1:45" x14ac:dyDescent="0.25">
      <c r="E35" s="72"/>
      <c r="F35" s="72"/>
      <c r="G35" s="72"/>
      <c r="H35" s="72"/>
      <c r="I35" s="72"/>
      <c r="J35" s="72"/>
      <c r="K35" s="72"/>
      <c r="L35" s="72"/>
      <c r="M35" s="241"/>
      <c r="N35" s="242"/>
      <c r="O35" s="242"/>
      <c r="P35" s="242"/>
      <c r="Q35" s="243" t="s">
        <v>196</v>
      </c>
      <c r="R35" s="328">
        <f t="shared" si="16"/>
        <v>215</v>
      </c>
      <c r="S35" s="328">
        <f t="shared" si="18"/>
        <v>230</v>
      </c>
      <c r="T35" s="117">
        <f t="shared" si="17"/>
        <v>490</v>
      </c>
      <c r="W35" s="551">
        <v>130</v>
      </c>
      <c r="X35" s="551">
        <v>130</v>
      </c>
      <c r="Y35" s="551">
        <v>295</v>
      </c>
      <c r="Z35" s="544"/>
      <c r="AA35" s="549">
        <f t="shared" si="0"/>
        <v>104</v>
      </c>
      <c r="AB35" s="549">
        <f t="shared" si="1"/>
        <v>104</v>
      </c>
      <c r="AC35" s="549">
        <f t="shared" si="2"/>
        <v>236</v>
      </c>
      <c r="AD35" s="552"/>
      <c r="AE35" s="550">
        <f t="shared" si="5"/>
        <v>215</v>
      </c>
      <c r="AF35" s="550">
        <f t="shared" si="6"/>
        <v>230</v>
      </c>
      <c r="AG35" s="550">
        <f t="shared" si="7"/>
        <v>490</v>
      </c>
      <c r="AH35" s="552"/>
      <c r="AI35" s="553"/>
      <c r="AJ35" s="553"/>
      <c r="AK35" s="553"/>
      <c r="AL35" s="553"/>
      <c r="AM35" s="552"/>
      <c r="AN35" s="552"/>
      <c r="AO35" s="552"/>
      <c r="AP35" s="552"/>
      <c r="AQ35" s="552"/>
      <c r="AR35" s="552"/>
      <c r="AS35" s="552"/>
    </row>
    <row r="36" spans="1:45" x14ac:dyDescent="0.25">
      <c r="E36" s="72"/>
      <c r="F36" s="72"/>
      <c r="G36" s="72"/>
      <c r="H36" s="72"/>
      <c r="I36" s="72"/>
      <c r="J36" s="72"/>
      <c r="K36" s="72"/>
      <c r="L36" s="72"/>
      <c r="M36" s="225"/>
      <c r="N36" s="226"/>
      <c r="O36" s="226"/>
      <c r="P36" s="226"/>
      <c r="Q36" s="226" t="s">
        <v>198</v>
      </c>
      <c r="R36" s="531">
        <f t="shared" si="16"/>
        <v>300</v>
      </c>
      <c r="S36" s="531">
        <f t="shared" si="18"/>
        <v>315</v>
      </c>
      <c r="T36" s="532">
        <f t="shared" si="17"/>
        <v>835</v>
      </c>
      <c r="W36" s="548">
        <v>179</v>
      </c>
      <c r="X36" s="548">
        <v>179</v>
      </c>
      <c r="Y36" s="548">
        <v>500</v>
      </c>
      <c r="Z36" s="544"/>
      <c r="AA36" s="545">
        <f t="shared" si="0"/>
        <v>143.20000000000002</v>
      </c>
      <c r="AB36" s="545">
        <f t="shared" si="1"/>
        <v>143.20000000000002</v>
      </c>
      <c r="AC36" s="545">
        <f t="shared" si="2"/>
        <v>400</v>
      </c>
      <c r="AD36" s="552"/>
      <c r="AE36" s="547">
        <f t="shared" si="5"/>
        <v>300</v>
      </c>
      <c r="AF36" s="547">
        <f t="shared" si="6"/>
        <v>315</v>
      </c>
      <c r="AG36" s="547">
        <f t="shared" si="7"/>
        <v>835</v>
      </c>
      <c r="AH36" s="552"/>
      <c r="AI36" s="553"/>
      <c r="AJ36" s="553"/>
      <c r="AK36" s="553"/>
      <c r="AL36" s="553"/>
      <c r="AM36" s="552"/>
      <c r="AN36" s="552"/>
      <c r="AO36" s="552"/>
      <c r="AP36" s="552"/>
      <c r="AQ36" s="552"/>
      <c r="AR36" s="552"/>
      <c r="AS36" s="552"/>
    </row>
    <row r="37" spans="1:45" x14ac:dyDescent="0.25">
      <c r="E37" t="s">
        <v>6</v>
      </c>
      <c r="F37" s="93">
        <v>0.82509999999999994</v>
      </c>
      <c r="G37" s="93">
        <v>1.135</v>
      </c>
      <c r="H37" s="90"/>
      <c r="I37" s="90"/>
      <c r="J37" s="90"/>
      <c r="K37" s="90"/>
      <c r="L37" s="90"/>
      <c r="M37" s="244" t="str">
        <f>_xlfn.CONCAT(TEXT($F37,"#.000#"),""""," to ",TEXT($G37,"#.000#"),"""")</f>
        <v>.8251" to 1.135"</v>
      </c>
      <c r="N37" s="1291">
        <v>4</v>
      </c>
      <c r="O37" s="1290">
        <v>2.125</v>
      </c>
      <c r="P37" s="1290">
        <v>1.125</v>
      </c>
      <c r="Q37" s="229" t="s">
        <v>197</v>
      </c>
      <c r="R37" s="315">
        <f t="shared" si="16"/>
        <v>265</v>
      </c>
      <c r="S37" s="315">
        <f t="shared" si="18"/>
        <v>280</v>
      </c>
      <c r="T37" s="106">
        <f t="shared" si="17"/>
        <v>760</v>
      </c>
      <c r="W37" s="548">
        <v>159</v>
      </c>
      <c r="X37" s="548">
        <v>159</v>
      </c>
      <c r="Y37" s="548">
        <v>455</v>
      </c>
      <c r="Z37" s="544"/>
      <c r="AA37" s="545">
        <f t="shared" si="0"/>
        <v>127.2</v>
      </c>
      <c r="AB37" s="545">
        <f t="shared" si="1"/>
        <v>127.2</v>
      </c>
      <c r="AC37" s="545">
        <f t="shared" si="2"/>
        <v>364</v>
      </c>
      <c r="AD37" s="552"/>
      <c r="AE37" s="547">
        <f t="shared" si="5"/>
        <v>265</v>
      </c>
      <c r="AF37" s="547">
        <f t="shared" si="6"/>
        <v>280</v>
      </c>
      <c r="AG37" s="547">
        <f t="shared" si="7"/>
        <v>760</v>
      </c>
      <c r="AH37" s="552"/>
      <c r="AI37" s="553"/>
      <c r="AJ37" s="553"/>
      <c r="AK37" s="553"/>
      <c r="AL37" s="553"/>
      <c r="AM37" s="552"/>
      <c r="AN37" s="552"/>
      <c r="AO37" s="552"/>
      <c r="AP37" s="552"/>
      <c r="AQ37" s="552"/>
      <c r="AR37" s="552"/>
      <c r="AS37" s="552"/>
    </row>
    <row r="38" spans="1:45" x14ac:dyDescent="0.25">
      <c r="E38" t="s">
        <v>576</v>
      </c>
      <c r="F38" s="94">
        <v>20.961000000000002</v>
      </c>
      <c r="G38" s="94">
        <v>28.83</v>
      </c>
      <c r="H38" s="94"/>
      <c r="I38" s="94"/>
      <c r="J38" s="94"/>
      <c r="K38" s="94"/>
      <c r="L38" s="90"/>
      <c r="M38" s="244" t="str">
        <f>_xlfn.CONCAT(TEXT($F38,"0.00#"),"mm"," to ",TEXT($G38,"0.00#"),"mm")</f>
        <v>20.961mm to 28.83mm</v>
      </c>
      <c r="N38" s="1291"/>
      <c r="O38" s="1290"/>
      <c r="P38" s="1290"/>
      <c r="Q38" s="229" t="s">
        <v>209</v>
      </c>
      <c r="R38" s="315">
        <f t="shared" si="16"/>
        <v>240</v>
      </c>
      <c r="S38" s="315">
        <f t="shared" si="18"/>
        <v>250</v>
      </c>
      <c r="T38" s="106">
        <f t="shared" si="17"/>
        <v>740</v>
      </c>
      <c r="W38" s="548">
        <v>144</v>
      </c>
      <c r="X38" s="548">
        <v>144</v>
      </c>
      <c r="Y38" s="548">
        <v>443</v>
      </c>
      <c r="Z38" s="544"/>
      <c r="AA38" s="545">
        <f t="shared" si="0"/>
        <v>115.2</v>
      </c>
      <c r="AB38" s="545">
        <f t="shared" si="1"/>
        <v>115.2</v>
      </c>
      <c r="AC38" s="545">
        <f t="shared" si="2"/>
        <v>354.40000000000003</v>
      </c>
      <c r="AD38" s="552"/>
      <c r="AE38" s="547">
        <f t="shared" si="5"/>
        <v>240</v>
      </c>
      <c r="AF38" s="547">
        <f t="shared" si="6"/>
        <v>250</v>
      </c>
      <c r="AG38" s="547">
        <f t="shared" si="7"/>
        <v>740</v>
      </c>
      <c r="AH38" s="552"/>
      <c r="AI38" s="553"/>
      <c r="AJ38" s="553"/>
      <c r="AK38" s="553"/>
      <c r="AL38" s="553"/>
      <c r="AM38" s="552"/>
      <c r="AN38" s="552"/>
      <c r="AO38" s="552"/>
      <c r="AP38" s="552"/>
      <c r="AQ38" s="552"/>
      <c r="AR38" s="552"/>
      <c r="AS38" s="552"/>
    </row>
    <row r="39" spans="1:45" x14ac:dyDescent="0.25">
      <c r="E39" s="72"/>
      <c r="F39" s="72"/>
      <c r="G39" s="72"/>
      <c r="H39" s="72"/>
      <c r="I39" s="72"/>
      <c r="J39" s="72"/>
      <c r="K39" s="72"/>
      <c r="L39" s="72"/>
      <c r="M39" s="230"/>
      <c r="N39" s="231"/>
      <c r="O39" s="231"/>
      <c r="P39" s="231"/>
      <c r="Q39" s="232" t="s">
        <v>196</v>
      </c>
      <c r="R39" s="315">
        <f t="shared" si="16"/>
        <v>225</v>
      </c>
      <c r="S39" s="315">
        <f t="shared" si="18"/>
        <v>235</v>
      </c>
      <c r="T39" s="106">
        <f t="shared" si="17"/>
        <v>730</v>
      </c>
      <c r="W39" s="551">
        <v>134</v>
      </c>
      <c r="X39" s="551">
        <v>134</v>
      </c>
      <c r="Y39" s="551">
        <v>437</v>
      </c>
      <c r="Z39" s="544"/>
      <c r="AA39" s="549">
        <f t="shared" si="0"/>
        <v>107.2</v>
      </c>
      <c r="AB39" s="549">
        <f t="shared" si="1"/>
        <v>107.2</v>
      </c>
      <c r="AC39" s="549">
        <f t="shared" si="2"/>
        <v>349.6</v>
      </c>
      <c r="AD39" s="552"/>
      <c r="AE39" s="550">
        <f t="shared" si="5"/>
        <v>225</v>
      </c>
      <c r="AF39" s="550">
        <f t="shared" si="6"/>
        <v>235</v>
      </c>
      <c r="AG39" s="550">
        <f t="shared" si="7"/>
        <v>730</v>
      </c>
      <c r="AH39" s="552"/>
      <c r="AI39" s="553"/>
      <c r="AJ39" s="553"/>
      <c r="AK39" s="553"/>
      <c r="AL39" s="553"/>
      <c r="AM39" s="552"/>
      <c r="AN39" s="552"/>
      <c r="AO39" s="552"/>
      <c r="AP39" s="552"/>
      <c r="AQ39" s="552"/>
      <c r="AR39" s="552"/>
      <c r="AS39" s="552"/>
    </row>
    <row r="40" spans="1:45" x14ac:dyDescent="0.25">
      <c r="E40" s="72"/>
      <c r="F40" s="72"/>
      <c r="G40" s="72"/>
      <c r="H40" s="72"/>
      <c r="I40" s="72"/>
      <c r="J40" s="72"/>
      <c r="K40" s="72"/>
      <c r="L40" s="72"/>
      <c r="M40" s="233"/>
      <c r="N40" s="234"/>
      <c r="O40" s="234"/>
      <c r="P40" s="234"/>
      <c r="Q40" s="234" t="s">
        <v>198</v>
      </c>
      <c r="R40" s="533">
        <f t="shared" si="16"/>
        <v>345</v>
      </c>
      <c r="S40" s="533">
        <f t="shared" si="18"/>
        <v>365</v>
      </c>
      <c r="T40" s="534">
        <f t="shared" si="17"/>
        <v>1035</v>
      </c>
      <c r="W40" s="548">
        <v>208</v>
      </c>
      <c r="X40" s="548">
        <v>208</v>
      </c>
      <c r="Y40" s="853">
        <v>620</v>
      </c>
      <c r="Z40" s="544"/>
      <c r="AA40" s="545">
        <f t="shared" si="0"/>
        <v>166.4</v>
      </c>
      <c r="AB40" s="545">
        <f t="shared" si="1"/>
        <v>166.4</v>
      </c>
      <c r="AC40" s="545">
        <f t="shared" si="2"/>
        <v>496</v>
      </c>
      <c r="AD40" s="552"/>
      <c r="AE40" s="547">
        <f t="shared" si="5"/>
        <v>345</v>
      </c>
      <c r="AF40" s="547">
        <f t="shared" si="6"/>
        <v>365</v>
      </c>
      <c r="AG40" s="547">
        <f t="shared" si="7"/>
        <v>1035</v>
      </c>
      <c r="AH40" s="552"/>
      <c r="AI40" s="553"/>
      <c r="AJ40" s="553"/>
      <c r="AK40" s="553"/>
      <c r="AL40" s="553"/>
      <c r="AM40" s="552"/>
      <c r="AN40" s="552"/>
      <c r="AO40" s="552"/>
      <c r="AP40" s="552"/>
      <c r="AQ40" s="552"/>
      <c r="AR40" s="552"/>
      <c r="AS40" s="552"/>
    </row>
    <row r="41" spans="1:45" x14ac:dyDescent="0.25">
      <c r="E41" t="s">
        <v>6</v>
      </c>
      <c r="F41" s="93">
        <v>1.1351</v>
      </c>
      <c r="G41" s="93">
        <v>1.51</v>
      </c>
      <c r="H41" s="90"/>
      <c r="I41" s="90"/>
      <c r="J41" s="90"/>
      <c r="K41" s="90"/>
      <c r="L41" s="90"/>
      <c r="M41" s="237" t="str">
        <f>_xlfn.CONCAT(TEXT($F41,"#.000#"),""""," to ",TEXT($G41,"#.000#"),"""")</f>
        <v>1.1351" to 1.510"</v>
      </c>
      <c r="N41" s="1292">
        <v>5</v>
      </c>
      <c r="O41" s="1289">
        <v>2.5</v>
      </c>
      <c r="P41" s="1289">
        <v>1.3125</v>
      </c>
      <c r="Q41" s="238" t="s">
        <v>197</v>
      </c>
      <c r="R41" s="328">
        <f t="shared" si="16"/>
        <v>295</v>
      </c>
      <c r="S41" s="328">
        <f t="shared" si="18"/>
        <v>310</v>
      </c>
      <c r="T41" s="117">
        <f t="shared" si="17"/>
        <v>965</v>
      </c>
      <c r="W41" s="548">
        <v>178</v>
      </c>
      <c r="X41" s="548">
        <v>178</v>
      </c>
      <c r="Y41" s="853">
        <v>578</v>
      </c>
      <c r="Z41" s="544"/>
      <c r="AA41" s="545">
        <f t="shared" si="0"/>
        <v>142.4</v>
      </c>
      <c r="AB41" s="545">
        <f t="shared" si="1"/>
        <v>142.4</v>
      </c>
      <c r="AC41" s="545">
        <f t="shared" si="2"/>
        <v>462.40000000000003</v>
      </c>
      <c r="AD41" s="552"/>
      <c r="AE41" s="547">
        <f t="shared" si="5"/>
        <v>295</v>
      </c>
      <c r="AF41" s="547">
        <f t="shared" si="6"/>
        <v>310</v>
      </c>
      <c r="AG41" s="547">
        <f>MROUND((AC41/((1-$AG$7)*(1-$AC$6))),5)</f>
        <v>965</v>
      </c>
      <c r="AH41" s="552"/>
      <c r="AI41" s="553"/>
      <c r="AJ41" s="553"/>
      <c r="AK41" s="553"/>
      <c r="AL41" s="553"/>
      <c r="AM41" s="552"/>
      <c r="AN41" s="552"/>
      <c r="AO41" s="552"/>
      <c r="AP41" s="552"/>
      <c r="AQ41" s="552"/>
      <c r="AR41" s="552"/>
      <c r="AS41" s="552"/>
    </row>
    <row r="42" spans="1:45" x14ac:dyDescent="0.25">
      <c r="E42" t="s">
        <v>576</v>
      </c>
      <c r="F42" s="94">
        <v>28.831</v>
      </c>
      <c r="G42" s="94">
        <v>38.35</v>
      </c>
      <c r="H42" s="94"/>
      <c r="I42" s="94"/>
      <c r="J42" s="94"/>
      <c r="K42" s="94"/>
      <c r="L42" s="90"/>
      <c r="M42" s="237" t="str">
        <f>_xlfn.CONCAT(TEXT($F42,"0.00#"),"mm"," to ",TEXT($G42,"0.00#"),"mm")</f>
        <v>28.831mm to 38.35mm</v>
      </c>
      <c r="N42" s="1292"/>
      <c r="O42" s="1289"/>
      <c r="P42" s="1289"/>
      <c r="Q42" s="238" t="s">
        <v>209</v>
      </c>
      <c r="R42" s="328">
        <f t="shared" si="16"/>
        <v>275</v>
      </c>
      <c r="S42" s="328">
        <f t="shared" si="18"/>
        <v>290</v>
      </c>
      <c r="T42" s="117">
        <f t="shared" si="17"/>
        <v>900</v>
      </c>
      <c r="W42" s="548">
        <v>165</v>
      </c>
      <c r="X42" s="548">
        <v>165</v>
      </c>
      <c r="Y42" s="853">
        <v>541</v>
      </c>
      <c r="Z42" s="544"/>
      <c r="AA42" s="545">
        <f t="shared" si="0"/>
        <v>132</v>
      </c>
      <c r="AB42" s="545">
        <f t="shared" si="1"/>
        <v>132</v>
      </c>
      <c r="AC42" s="545">
        <f t="shared" si="2"/>
        <v>432.8</v>
      </c>
      <c r="AD42" s="552"/>
      <c r="AE42" s="547">
        <f t="shared" si="5"/>
        <v>275</v>
      </c>
      <c r="AF42" s="547">
        <f t="shared" si="6"/>
        <v>290</v>
      </c>
      <c r="AG42" s="547">
        <f t="shared" si="7"/>
        <v>900</v>
      </c>
      <c r="AH42" s="552"/>
      <c r="AI42" s="553"/>
      <c r="AJ42" s="553"/>
      <c r="AK42" s="548"/>
      <c r="AL42" s="553"/>
      <c r="AM42" s="552"/>
      <c r="AN42" s="552"/>
      <c r="AO42" s="552"/>
      <c r="AP42" s="552"/>
      <c r="AQ42" s="552"/>
      <c r="AR42" s="552"/>
      <c r="AS42" s="552"/>
    </row>
    <row r="43" spans="1:45" x14ac:dyDescent="0.25">
      <c r="E43" s="72"/>
      <c r="F43" s="72"/>
      <c r="G43" s="72"/>
      <c r="H43" s="72"/>
      <c r="I43" s="72"/>
      <c r="J43" s="72"/>
      <c r="K43" s="72"/>
      <c r="L43" s="72"/>
      <c r="M43" s="241"/>
      <c r="N43" s="242"/>
      <c r="O43" s="242"/>
      <c r="P43" s="242"/>
      <c r="Q43" s="243" t="s">
        <v>196</v>
      </c>
      <c r="R43" s="328">
        <f t="shared" si="16"/>
        <v>255</v>
      </c>
      <c r="S43" s="328">
        <f t="shared" si="18"/>
        <v>270</v>
      </c>
      <c r="T43" s="117">
        <f t="shared" si="17"/>
        <v>865</v>
      </c>
      <c r="W43" s="551">
        <v>153</v>
      </c>
      <c r="X43" s="551">
        <v>153</v>
      </c>
      <c r="Y43" s="854">
        <v>518.5</v>
      </c>
      <c r="Z43" s="544"/>
      <c r="AA43" s="549">
        <f t="shared" si="0"/>
        <v>122.4</v>
      </c>
      <c r="AB43" s="549">
        <f t="shared" si="1"/>
        <v>122.4</v>
      </c>
      <c r="AC43" s="549">
        <f t="shared" si="2"/>
        <v>414.8</v>
      </c>
      <c r="AD43" s="552"/>
      <c r="AE43" s="550">
        <f t="shared" si="5"/>
        <v>255</v>
      </c>
      <c r="AF43" s="550">
        <f t="shared" si="6"/>
        <v>270</v>
      </c>
      <c r="AG43" s="550">
        <f t="shared" si="7"/>
        <v>865</v>
      </c>
      <c r="AH43" s="552"/>
      <c r="AI43"/>
      <c r="AJ43"/>
      <c r="AK43"/>
      <c r="AL43"/>
    </row>
    <row r="44" spans="1:45" x14ac:dyDescent="0.25">
      <c r="E44" s="72"/>
      <c r="F44" s="72"/>
      <c r="G44" s="72"/>
      <c r="H44" s="72"/>
      <c r="I44" s="72"/>
      <c r="J44" s="72"/>
      <c r="K44" s="72"/>
      <c r="L44" s="72"/>
      <c r="M44" s="225"/>
      <c r="N44" s="226"/>
      <c r="O44" s="226"/>
      <c r="P44" s="226"/>
      <c r="Q44" s="226" t="s">
        <v>198</v>
      </c>
      <c r="R44" s="531">
        <f t="shared" si="16"/>
        <v>425</v>
      </c>
      <c r="S44" s="531">
        <f t="shared" si="18"/>
        <v>445</v>
      </c>
      <c r="T44" s="227">
        <v>0</v>
      </c>
      <c r="W44" s="548">
        <v>254</v>
      </c>
      <c r="X44" s="548">
        <v>254</v>
      </c>
      <c r="Y44" s="544">
        <v>0</v>
      </c>
      <c r="Z44" s="544"/>
      <c r="AA44" s="545">
        <f t="shared" ref="AA44:AA63" si="19">(1-$AC$5)*W44</f>
        <v>203.20000000000002</v>
      </c>
      <c r="AB44" s="545">
        <f t="shared" ref="AB44:AB63" si="20">(1-$AC$5)*X44</f>
        <v>203.20000000000002</v>
      </c>
      <c r="AC44" s="545">
        <f t="shared" ref="AC44:AC63" si="21">(1-$AC$5)*Y44</f>
        <v>0</v>
      </c>
      <c r="AD44" s="552"/>
      <c r="AE44" s="547">
        <f t="shared" si="5"/>
        <v>425</v>
      </c>
      <c r="AF44" s="547">
        <f t="shared" si="6"/>
        <v>445</v>
      </c>
      <c r="AG44" s="547">
        <f t="shared" si="7"/>
        <v>0</v>
      </c>
      <c r="AH44" s="552"/>
      <c r="AI44"/>
      <c r="AJ44"/>
      <c r="AK44"/>
      <c r="AL44"/>
    </row>
    <row r="45" spans="1:45" x14ac:dyDescent="0.25">
      <c r="E45" t="s">
        <v>6</v>
      </c>
      <c r="F45" s="93">
        <v>1.5101</v>
      </c>
      <c r="G45" s="93">
        <v>2.0099999999999998</v>
      </c>
      <c r="H45" s="90"/>
      <c r="I45" s="90"/>
      <c r="J45" s="90"/>
      <c r="K45" s="90"/>
      <c r="L45" s="90"/>
      <c r="M45" s="244" t="str">
        <f>_xlfn.CONCAT(TEXT($F45,"#.000#"),""""," to ",TEXT($G45,"#.000#"),"""")</f>
        <v>1.5101" to 2.010"</v>
      </c>
      <c r="N45" s="1291">
        <v>6</v>
      </c>
      <c r="O45" s="1290">
        <v>4</v>
      </c>
      <c r="P45" s="1290">
        <v>0.5</v>
      </c>
      <c r="Q45" s="229" t="s">
        <v>197</v>
      </c>
      <c r="R45" s="315">
        <f t="shared" si="16"/>
        <v>375</v>
      </c>
      <c r="S45" s="315">
        <f t="shared" si="18"/>
        <v>390</v>
      </c>
      <c r="T45" s="106">
        <v>0</v>
      </c>
      <c r="W45" s="548">
        <v>224</v>
      </c>
      <c r="X45" s="548">
        <v>224</v>
      </c>
      <c r="Y45" s="544">
        <v>0</v>
      </c>
      <c r="Z45" s="544"/>
      <c r="AA45" s="545">
        <f t="shared" si="19"/>
        <v>179.20000000000002</v>
      </c>
      <c r="AB45" s="545">
        <f t="shared" si="20"/>
        <v>179.20000000000002</v>
      </c>
      <c r="AC45" s="545">
        <f t="shared" si="21"/>
        <v>0</v>
      </c>
      <c r="AD45" s="552"/>
      <c r="AE45" s="547">
        <f t="shared" si="5"/>
        <v>375</v>
      </c>
      <c r="AF45" s="547">
        <f t="shared" si="6"/>
        <v>390</v>
      </c>
      <c r="AG45" s="547">
        <f t="shared" si="7"/>
        <v>0</v>
      </c>
      <c r="AH45" s="552"/>
      <c r="AI45"/>
      <c r="AJ45"/>
      <c r="AK45"/>
      <c r="AL45"/>
    </row>
    <row r="46" spans="1:45" x14ac:dyDescent="0.25">
      <c r="E46" t="s">
        <v>576</v>
      </c>
      <c r="F46" s="94">
        <v>38.350999999999999</v>
      </c>
      <c r="G46" s="94">
        <v>51.05</v>
      </c>
      <c r="H46" s="94"/>
      <c r="I46" s="94"/>
      <c r="J46" s="94"/>
      <c r="K46" s="94"/>
      <c r="L46" s="90"/>
      <c r="M46" s="244" t="str">
        <f>_xlfn.CONCAT(TEXT($F46,"0.00#"),"mm"," to ",TEXT($G46,"0.00#"),"mm")</f>
        <v>38.351mm to 51.05mm</v>
      </c>
      <c r="N46" s="1291"/>
      <c r="O46" s="1290"/>
      <c r="P46" s="1290"/>
      <c r="Q46" s="229" t="s">
        <v>209</v>
      </c>
      <c r="R46" s="315">
        <f t="shared" si="16"/>
        <v>340</v>
      </c>
      <c r="S46" s="315">
        <f t="shared" si="18"/>
        <v>360</v>
      </c>
      <c r="T46" s="106">
        <v>0</v>
      </c>
      <c r="W46" s="548">
        <v>205</v>
      </c>
      <c r="X46" s="548">
        <v>205</v>
      </c>
      <c r="Y46" s="544">
        <v>0</v>
      </c>
      <c r="Z46" s="544"/>
      <c r="AA46" s="545">
        <f t="shared" si="19"/>
        <v>164</v>
      </c>
      <c r="AB46" s="545">
        <f t="shared" si="20"/>
        <v>164</v>
      </c>
      <c r="AC46" s="545">
        <f t="shared" si="21"/>
        <v>0</v>
      </c>
      <c r="AD46" s="552"/>
      <c r="AE46" s="547">
        <f t="shared" si="5"/>
        <v>340</v>
      </c>
      <c r="AF46" s="547">
        <f t="shared" si="6"/>
        <v>360</v>
      </c>
      <c r="AG46" s="547">
        <f t="shared" si="7"/>
        <v>0</v>
      </c>
      <c r="AH46" s="552"/>
      <c r="AI46"/>
      <c r="AJ46"/>
      <c r="AK46"/>
      <c r="AL46"/>
    </row>
    <row r="47" spans="1:45" x14ac:dyDescent="0.25">
      <c r="A47" s="46"/>
      <c r="B47" s="46"/>
      <c r="C47" s="46"/>
      <c r="D47" s="46"/>
      <c r="E47" s="72"/>
      <c r="F47" s="72"/>
      <c r="G47" s="72"/>
      <c r="H47" s="72"/>
      <c r="I47" s="72"/>
      <c r="J47" s="72"/>
      <c r="K47" s="72"/>
      <c r="L47" s="72"/>
      <c r="M47" s="230"/>
      <c r="N47" s="231"/>
      <c r="O47" s="231"/>
      <c r="P47" s="231"/>
      <c r="Q47" s="232" t="s">
        <v>196</v>
      </c>
      <c r="R47" s="315">
        <f t="shared" si="16"/>
        <v>320</v>
      </c>
      <c r="S47" s="315">
        <f t="shared" si="18"/>
        <v>340</v>
      </c>
      <c r="T47" s="106">
        <v>0</v>
      </c>
      <c r="W47" s="551">
        <v>193</v>
      </c>
      <c r="X47" s="551">
        <v>193</v>
      </c>
      <c r="Y47" s="551">
        <v>0</v>
      </c>
      <c r="Z47" s="544"/>
      <c r="AA47" s="549">
        <f t="shared" si="19"/>
        <v>154.4</v>
      </c>
      <c r="AB47" s="549">
        <f t="shared" si="20"/>
        <v>154.4</v>
      </c>
      <c r="AC47" s="549">
        <f t="shared" si="21"/>
        <v>0</v>
      </c>
      <c r="AD47" s="552"/>
      <c r="AE47" s="550">
        <f t="shared" si="5"/>
        <v>320</v>
      </c>
      <c r="AF47" s="550">
        <f t="shared" si="6"/>
        <v>340</v>
      </c>
      <c r="AG47" s="550">
        <f t="shared" si="7"/>
        <v>0</v>
      </c>
      <c r="AH47" s="552"/>
      <c r="AI47"/>
      <c r="AJ47"/>
      <c r="AK47"/>
      <c r="AL47"/>
    </row>
    <row r="48" spans="1:45" x14ac:dyDescent="0.25">
      <c r="E48" s="72"/>
      <c r="F48" s="72"/>
      <c r="G48" s="72"/>
      <c r="H48" s="72"/>
      <c r="I48" s="72"/>
      <c r="J48" s="72"/>
      <c r="K48" s="72"/>
      <c r="L48" s="72"/>
      <c r="M48" s="233"/>
      <c r="N48" s="234"/>
      <c r="O48" s="234"/>
      <c r="P48" s="234"/>
      <c r="Q48" s="234" t="s">
        <v>198</v>
      </c>
      <c r="R48" s="533">
        <f t="shared" si="16"/>
        <v>540</v>
      </c>
      <c r="S48" s="533">
        <f t="shared" si="18"/>
        <v>570</v>
      </c>
      <c r="T48" s="236">
        <v>0</v>
      </c>
      <c r="W48" s="548">
        <v>325</v>
      </c>
      <c r="X48" s="548">
        <v>325</v>
      </c>
      <c r="Y48" s="544">
        <v>0</v>
      </c>
      <c r="Z48" s="544"/>
      <c r="AA48" s="545">
        <f t="shared" si="19"/>
        <v>260</v>
      </c>
      <c r="AB48" s="545">
        <f t="shared" si="20"/>
        <v>260</v>
      </c>
      <c r="AC48" s="545">
        <f t="shared" si="21"/>
        <v>0</v>
      </c>
      <c r="AD48" s="552"/>
      <c r="AE48" s="547">
        <f t="shared" si="5"/>
        <v>540</v>
      </c>
      <c r="AF48" s="547">
        <f t="shared" si="6"/>
        <v>570</v>
      </c>
      <c r="AG48" s="547">
        <f t="shared" si="7"/>
        <v>0</v>
      </c>
      <c r="AH48" s="552"/>
      <c r="AI48"/>
      <c r="AJ48"/>
      <c r="AK48"/>
      <c r="AL48"/>
    </row>
    <row r="49" spans="5:45" x14ac:dyDescent="0.25">
      <c r="E49" t="s">
        <v>6</v>
      </c>
      <c r="F49" s="93">
        <f>G45+0.0001</f>
        <v>2.0101</v>
      </c>
      <c r="G49" s="93">
        <v>2.5099999999999998</v>
      </c>
      <c r="H49" s="90"/>
      <c r="I49" s="90"/>
      <c r="J49" s="90"/>
      <c r="K49" s="90"/>
      <c r="L49" s="90"/>
      <c r="M49" s="237" t="str">
        <f>_xlfn.CONCAT(TEXT($F49,"#.000#"),""""," to ",TEXT($G49,"#.000#"),"""")</f>
        <v>2.0101" to 2.510"</v>
      </c>
      <c r="N49" s="1292">
        <v>7</v>
      </c>
      <c r="O49" s="1289">
        <v>4.5</v>
      </c>
      <c r="P49" s="1289">
        <v>0.5625</v>
      </c>
      <c r="Q49" s="238" t="s">
        <v>197</v>
      </c>
      <c r="R49" s="328">
        <f t="shared" si="16"/>
        <v>475</v>
      </c>
      <c r="S49" s="328">
        <f t="shared" si="18"/>
        <v>500</v>
      </c>
      <c r="T49" s="240">
        <v>0</v>
      </c>
      <c r="W49" s="548">
        <v>285</v>
      </c>
      <c r="X49" s="548">
        <v>285</v>
      </c>
      <c r="Y49" s="544">
        <v>0</v>
      </c>
      <c r="Z49" s="544"/>
      <c r="AA49" s="545">
        <f t="shared" si="19"/>
        <v>228</v>
      </c>
      <c r="AB49" s="545">
        <f t="shared" si="20"/>
        <v>228</v>
      </c>
      <c r="AC49" s="545">
        <f t="shared" si="21"/>
        <v>0</v>
      </c>
      <c r="AD49" s="552"/>
      <c r="AE49" s="547">
        <f t="shared" si="5"/>
        <v>475</v>
      </c>
      <c r="AF49" s="547">
        <f t="shared" si="6"/>
        <v>500</v>
      </c>
      <c r="AG49" s="547">
        <f t="shared" si="7"/>
        <v>0</v>
      </c>
      <c r="AH49" s="552"/>
      <c r="AI49"/>
      <c r="AJ49"/>
      <c r="AK49"/>
      <c r="AL49"/>
    </row>
    <row r="50" spans="5:45" x14ac:dyDescent="0.25">
      <c r="E50" t="s">
        <v>576</v>
      </c>
      <c r="F50" s="94">
        <v>51.050999999999995</v>
      </c>
      <c r="G50" s="94">
        <v>63.75</v>
      </c>
      <c r="H50" s="94"/>
      <c r="I50" s="94"/>
      <c r="J50" s="94"/>
      <c r="K50" s="94"/>
      <c r="L50" s="90"/>
      <c r="M50" s="237" t="str">
        <f>_xlfn.CONCAT(TEXT($F50,"0.00#"),"mm"," to ",TEXT($G50,"0.00#"),"mm")</f>
        <v>51.051mm to 63.75mm</v>
      </c>
      <c r="N50" s="1292"/>
      <c r="O50" s="1289"/>
      <c r="P50" s="1289"/>
      <c r="Q50" s="238" t="s">
        <v>209</v>
      </c>
      <c r="R50" s="328">
        <f t="shared" si="16"/>
        <v>415</v>
      </c>
      <c r="S50" s="328">
        <f t="shared" si="18"/>
        <v>435</v>
      </c>
      <c r="T50" s="240">
        <v>0</v>
      </c>
      <c r="W50" s="548">
        <v>248</v>
      </c>
      <c r="X50" s="548">
        <v>248</v>
      </c>
      <c r="Y50" s="544">
        <v>0</v>
      </c>
      <c r="Z50" s="544"/>
      <c r="AA50" s="545">
        <f t="shared" si="19"/>
        <v>198.4</v>
      </c>
      <c r="AB50" s="545">
        <f t="shared" si="20"/>
        <v>198.4</v>
      </c>
      <c r="AC50" s="545">
        <f t="shared" si="21"/>
        <v>0</v>
      </c>
      <c r="AD50" s="552"/>
      <c r="AE50" s="547">
        <f t="shared" si="5"/>
        <v>415</v>
      </c>
      <c r="AF50" s="547">
        <f t="shared" si="6"/>
        <v>435</v>
      </c>
      <c r="AG50" s="547">
        <f t="shared" si="7"/>
        <v>0</v>
      </c>
      <c r="AH50" s="552"/>
      <c r="AI50" s="553"/>
      <c r="AJ50" s="553"/>
      <c r="AK50" s="548"/>
      <c r="AL50" s="553"/>
      <c r="AM50" s="552"/>
      <c r="AN50" s="552"/>
      <c r="AO50" s="552"/>
      <c r="AP50" s="552"/>
      <c r="AQ50" s="552"/>
      <c r="AR50" s="552"/>
      <c r="AS50" s="552"/>
    </row>
    <row r="51" spans="5:45" x14ac:dyDescent="0.25">
      <c r="E51" s="72"/>
      <c r="F51" s="72"/>
      <c r="G51" s="72"/>
      <c r="H51" s="72"/>
      <c r="I51" s="72"/>
      <c r="J51" s="72"/>
      <c r="K51" s="72"/>
      <c r="L51" s="72"/>
      <c r="M51" s="241"/>
      <c r="N51" s="242"/>
      <c r="O51" s="242"/>
      <c r="P51" s="242"/>
      <c r="Q51" s="243" t="s">
        <v>196</v>
      </c>
      <c r="R51" s="328">
        <f t="shared" si="16"/>
        <v>380</v>
      </c>
      <c r="S51" s="328">
        <f t="shared" si="18"/>
        <v>395</v>
      </c>
      <c r="T51" s="240">
        <v>0</v>
      </c>
      <c r="W51" s="551">
        <v>227</v>
      </c>
      <c r="X51" s="551">
        <v>227</v>
      </c>
      <c r="Y51" s="551">
        <v>0</v>
      </c>
      <c r="Z51" s="544"/>
      <c r="AA51" s="549">
        <f t="shared" si="19"/>
        <v>181.60000000000002</v>
      </c>
      <c r="AB51" s="549">
        <f t="shared" si="20"/>
        <v>181.60000000000002</v>
      </c>
      <c r="AC51" s="549">
        <f t="shared" si="21"/>
        <v>0</v>
      </c>
      <c r="AD51" s="552"/>
      <c r="AE51" s="550">
        <f t="shared" si="5"/>
        <v>380</v>
      </c>
      <c r="AF51" s="550">
        <f t="shared" si="6"/>
        <v>395</v>
      </c>
      <c r="AG51" s="550">
        <f t="shared" si="7"/>
        <v>0</v>
      </c>
      <c r="AH51" s="552"/>
      <c r="AI51" s="553"/>
      <c r="AJ51" s="553"/>
      <c r="AK51" s="548"/>
      <c r="AL51" s="553"/>
      <c r="AM51" s="552"/>
      <c r="AN51" s="552"/>
      <c r="AO51" s="552"/>
      <c r="AP51" s="552"/>
      <c r="AQ51" s="552"/>
      <c r="AR51" s="552"/>
      <c r="AS51" s="552"/>
    </row>
    <row r="52" spans="5:45" x14ac:dyDescent="0.25">
      <c r="E52" s="72"/>
      <c r="F52" s="72"/>
      <c r="G52" s="72"/>
      <c r="H52" s="72"/>
      <c r="I52" s="72"/>
      <c r="J52" s="72"/>
      <c r="K52" s="72"/>
      <c r="L52" s="72"/>
      <c r="M52" s="225"/>
      <c r="N52" s="226"/>
      <c r="O52" s="226"/>
      <c r="P52" s="226"/>
      <c r="Q52" s="226" t="s">
        <v>198</v>
      </c>
      <c r="R52" s="531">
        <f t="shared" si="16"/>
        <v>590</v>
      </c>
      <c r="S52" s="531">
        <f t="shared" si="18"/>
        <v>620</v>
      </c>
      <c r="T52" s="227">
        <v>0</v>
      </c>
      <c r="W52" s="548">
        <v>354</v>
      </c>
      <c r="X52" s="548">
        <v>354</v>
      </c>
      <c r="Y52" s="544">
        <v>0</v>
      </c>
      <c r="Z52" s="544"/>
      <c r="AA52" s="545">
        <f t="shared" si="19"/>
        <v>283.2</v>
      </c>
      <c r="AB52" s="545">
        <f t="shared" si="20"/>
        <v>283.2</v>
      </c>
      <c r="AC52" s="545">
        <f t="shared" si="21"/>
        <v>0</v>
      </c>
      <c r="AD52" s="552"/>
      <c r="AE52" s="547">
        <f t="shared" si="5"/>
        <v>590</v>
      </c>
      <c r="AF52" s="547">
        <f t="shared" si="6"/>
        <v>620</v>
      </c>
      <c r="AG52" s="547">
        <f t="shared" si="7"/>
        <v>0</v>
      </c>
      <c r="AH52" s="552"/>
      <c r="AI52" s="553"/>
      <c r="AJ52" s="553"/>
      <c r="AK52" s="553"/>
      <c r="AL52" s="553"/>
      <c r="AM52" s="552"/>
      <c r="AN52" s="552"/>
      <c r="AO52" s="552"/>
      <c r="AP52" s="552"/>
      <c r="AQ52" s="552"/>
      <c r="AR52" s="552"/>
      <c r="AS52" s="552"/>
    </row>
    <row r="53" spans="5:45" x14ac:dyDescent="0.25">
      <c r="E53" t="s">
        <v>6</v>
      </c>
      <c r="F53" s="93">
        <f>G49+0.0001</f>
        <v>2.5101</v>
      </c>
      <c r="G53" s="93">
        <v>3.01</v>
      </c>
      <c r="H53" s="90"/>
      <c r="I53" s="90"/>
      <c r="J53" s="90"/>
      <c r="K53" s="90"/>
      <c r="L53" s="90"/>
      <c r="M53" s="244" t="str">
        <f>_xlfn.CONCAT(TEXT($F53,"#.000#"),""""," to ",TEXT($G53,"#.000#"),"""")</f>
        <v>2.5101" to 3.010"</v>
      </c>
      <c r="N53" s="1291">
        <v>8</v>
      </c>
      <c r="O53" s="1290">
        <v>5</v>
      </c>
      <c r="P53" s="1290">
        <v>0.625</v>
      </c>
      <c r="Q53" s="229" t="s">
        <v>197</v>
      </c>
      <c r="R53" s="315">
        <f t="shared" si="16"/>
        <v>515</v>
      </c>
      <c r="S53" s="315">
        <f t="shared" si="18"/>
        <v>545</v>
      </c>
      <c r="T53" s="142">
        <v>0</v>
      </c>
      <c r="W53" s="548">
        <v>310</v>
      </c>
      <c r="X53" s="548">
        <v>310</v>
      </c>
      <c r="Y53" s="544">
        <v>0</v>
      </c>
      <c r="Z53" s="544"/>
      <c r="AA53" s="545">
        <f t="shared" si="19"/>
        <v>248</v>
      </c>
      <c r="AB53" s="545">
        <f t="shared" si="20"/>
        <v>248</v>
      </c>
      <c r="AC53" s="545">
        <f t="shared" si="21"/>
        <v>0</v>
      </c>
      <c r="AD53" s="552"/>
      <c r="AE53" s="547">
        <f t="shared" si="5"/>
        <v>515</v>
      </c>
      <c r="AF53" s="547">
        <f t="shared" si="6"/>
        <v>545</v>
      </c>
      <c r="AG53" s="547">
        <f t="shared" si="7"/>
        <v>0</v>
      </c>
      <c r="AH53" s="552"/>
      <c r="AI53" s="553"/>
      <c r="AJ53" s="553"/>
      <c r="AK53" s="553"/>
      <c r="AL53" s="553"/>
      <c r="AM53" s="552"/>
      <c r="AN53" s="552"/>
      <c r="AO53" s="552"/>
      <c r="AP53" s="552"/>
      <c r="AQ53" s="552"/>
      <c r="AR53" s="552"/>
      <c r="AS53" s="552"/>
    </row>
    <row r="54" spans="5:45" x14ac:dyDescent="0.25">
      <c r="E54" t="s">
        <v>576</v>
      </c>
      <c r="F54" s="94">
        <v>63.750999999999998</v>
      </c>
      <c r="G54" s="94">
        <v>76.45</v>
      </c>
      <c r="H54" s="94"/>
      <c r="I54" s="94"/>
      <c r="J54" s="94"/>
      <c r="K54" s="94"/>
      <c r="L54" s="90"/>
      <c r="M54" s="244" t="str">
        <f>_xlfn.CONCAT(TEXT($F54,"0.00#"),"mm"," to ",TEXT($G54,"0.00#"),"mm")</f>
        <v>63.751mm to 76.45mm</v>
      </c>
      <c r="N54" s="1291"/>
      <c r="O54" s="1290"/>
      <c r="P54" s="1290"/>
      <c r="Q54" s="229" t="s">
        <v>209</v>
      </c>
      <c r="R54" s="315">
        <f t="shared" si="16"/>
        <v>465</v>
      </c>
      <c r="S54" s="315">
        <f t="shared" si="18"/>
        <v>485</v>
      </c>
      <c r="T54" s="142">
        <v>0</v>
      </c>
      <c r="W54" s="548">
        <v>278</v>
      </c>
      <c r="X54" s="548">
        <v>278</v>
      </c>
      <c r="Y54" s="544">
        <v>0</v>
      </c>
      <c r="Z54" s="544"/>
      <c r="AA54" s="545">
        <f t="shared" si="19"/>
        <v>222.4</v>
      </c>
      <c r="AB54" s="545">
        <f t="shared" si="20"/>
        <v>222.4</v>
      </c>
      <c r="AC54" s="545">
        <f t="shared" si="21"/>
        <v>0</v>
      </c>
      <c r="AD54" s="552"/>
      <c r="AE54" s="547">
        <f t="shared" si="5"/>
        <v>465</v>
      </c>
      <c r="AF54" s="547">
        <f t="shared" si="6"/>
        <v>485</v>
      </c>
      <c r="AG54" s="547">
        <f t="shared" si="7"/>
        <v>0</v>
      </c>
      <c r="AH54" s="552"/>
      <c r="AI54" s="553"/>
      <c r="AJ54" s="553"/>
      <c r="AK54" s="553"/>
      <c r="AL54" s="553"/>
      <c r="AM54" s="552"/>
      <c r="AN54" s="552"/>
      <c r="AO54" s="552"/>
      <c r="AP54" s="552"/>
      <c r="AQ54" s="552"/>
      <c r="AR54" s="552"/>
      <c r="AS54" s="552"/>
    </row>
    <row r="55" spans="5:45" x14ac:dyDescent="0.25">
      <c r="E55" s="72"/>
      <c r="F55" s="72"/>
      <c r="G55" s="72"/>
      <c r="H55" s="72"/>
      <c r="I55" s="72"/>
      <c r="J55" s="72"/>
      <c r="K55" s="72"/>
      <c r="L55" s="72"/>
      <c r="M55" s="230"/>
      <c r="N55" s="231"/>
      <c r="O55" s="231"/>
      <c r="P55" s="231"/>
      <c r="Q55" s="232" t="s">
        <v>196</v>
      </c>
      <c r="R55" s="315">
        <f t="shared" si="16"/>
        <v>430</v>
      </c>
      <c r="S55" s="315">
        <f t="shared" si="18"/>
        <v>450</v>
      </c>
      <c r="T55" s="142">
        <v>0</v>
      </c>
      <c r="W55" s="551">
        <v>258</v>
      </c>
      <c r="X55" s="551">
        <v>258</v>
      </c>
      <c r="Y55" s="551">
        <v>0</v>
      </c>
      <c r="Z55" s="544"/>
      <c r="AA55" s="549">
        <f t="shared" si="19"/>
        <v>206.4</v>
      </c>
      <c r="AB55" s="549">
        <f t="shared" si="20"/>
        <v>206.4</v>
      </c>
      <c r="AC55" s="549">
        <f t="shared" si="21"/>
        <v>0</v>
      </c>
      <c r="AD55" s="552"/>
      <c r="AE55" s="550">
        <f t="shared" si="5"/>
        <v>430</v>
      </c>
      <c r="AF55" s="550">
        <f t="shared" si="6"/>
        <v>450</v>
      </c>
      <c r="AG55" s="550">
        <f t="shared" si="7"/>
        <v>0</v>
      </c>
      <c r="AH55" s="552"/>
      <c r="AI55" s="553"/>
      <c r="AJ55" s="553"/>
      <c r="AK55" s="553"/>
      <c r="AL55" s="553"/>
      <c r="AM55" s="552"/>
      <c r="AN55" s="552"/>
      <c r="AO55" s="552"/>
      <c r="AP55" s="552"/>
      <c r="AQ55" s="552"/>
      <c r="AR55" s="552"/>
      <c r="AS55" s="552"/>
    </row>
    <row r="56" spans="5:45" x14ac:dyDescent="0.25">
      <c r="E56" s="72"/>
      <c r="F56" s="72"/>
      <c r="G56" s="72"/>
      <c r="H56" s="72"/>
      <c r="I56" s="72"/>
      <c r="J56" s="72"/>
      <c r="K56" s="72"/>
      <c r="L56" s="72"/>
      <c r="M56" s="233"/>
      <c r="N56" s="234"/>
      <c r="O56" s="234"/>
      <c r="P56" s="234"/>
      <c r="Q56" s="234" t="s">
        <v>198</v>
      </c>
      <c r="R56" s="533">
        <f t="shared" si="16"/>
        <v>725</v>
      </c>
      <c r="S56" s="533">
        <f t="shared" si="18"/>
        <v>760</v>
      </c>
      <c r="T56" s="236">
        <v>0</v>
      </c>
      <c r="W56" s="548">
        <v>435</v>
      </c>
      <c r="X56" s="548">
        <v>435</v>
      </c>
      <c r="Y56" s="544">
        <v>0</v>
      </c>
      <c r="Z56" s="544"/>
      <c r="AA56" s="545">
        <f t="shared" si="19"/>
        <v>348</v>
      </c>
      <c r="AB56" s="545">
        <f t="shared" si="20"/>
        <v>348</v>
      </c>
      <c r="AC56" s="545">
        <f t="shared" si="21"/>
        <v>0</v>
      </c>
      <c r="AD56" s="552"/>
      <c r="AE56" s="547">
        <f t="shared" si="5"/>
        <v>725</v>
      </c>
      <c r="AF56" s="547">
        <f t="shared" si="6"/>
        <v>760</v>
      </c>
      <c r="AG56" s="547">
        <f t="shared" si="7"/>
        <v>0</v>
      </c>
      <c r="AH56" s="552"/>
      <c r="AI56" s="553"/>
      <c r="AJ56" s="553"/>
      <c r="AK56" s="553"/>
      <c r="AL56" s="553"/>
      <c r="AM56" s="552"/>
      <c r="AN56" s="552"/>
      <c r="AO56" s="552"/>
      <c r="AP56" s="552"/>
      <c r="AQ56" s="552"/>
      <c r="AR56" s="552"/>
      <c r="AS56" s="552"/>
    </row>
    <row r="57" spans="5:45" x14ac:dyDescent="0.25">
      <c r="E57" t="s">
        <v>6</v>
      </c>
      <c r="F57" s="93">
        <f>G53+0.0001</f>
        <v>3.0101</v>
      </c>
      <c r="G57" s="93">
        <v>3.51</v>
      </c>
      <c r="H57" s="90"/>
      <c r="I57" s="90"/>
      <c r="J57" s="90"/>
      <c r="K57" s="90"/>
      <c r="L57" s="90"/>
      <c r="M57" s="237" t="str">
        <f>_xlfn.CONCAT(TEXT($F57,"#.000#"),""""," to ",TEXT($G57,"#.000#"),"""")</f>
        <v>3.0101" to 3.510"</v>
      </c>
      <c r="N57" s="1292">
        <v>9</v>
      </c>
      <c r="O57" s="1289">
        <v>5.5</v>
      </c>
      <c r="P57" s="1289">
        <v>0.6875</v>
      </c>
      <c r="Q57" s="238" t="s">
        <v>197</v>
      </c>
      <c r="R57" s="328">
        <f t="shared" si="16"/>
        <v>615</v>
      </c>
      <c r="S57" s="328">
        <f t="shared" si="18"/>
        <v>650</v>
      </c>
      <c r="T57" s="240">
        <v>0</v>
      </c>
      <c r="W57" s="548">
        <v>370</v>
      </c>
      <c r="X57" s="548">
        <v>370</v>
      </c>
      <c r="Y57" s="544">
        <v>0</v>
      </c>
      <c r="Z57" s="544"/>
      <c r="AA57" s="545">
        <f t="shared" si="19"/>
        <v>296</v>
      </c>
      <c r="AB57" s="545">
        <f t="shared" si="20"/>
        <v>296</v>
      </c>
      <c r="AC57" s="545">
        <f t="shared" si="21"/>
        <v>0</v>
      </c>
      <c r="AD57" s="552"/>
      <c r="AE57" s="547">
        <f>MROUND((AA57/((1-$AG$5)*(1-$AC$6))),5)</f>
        <v>615</v>
      </c>
      <c r="AF57" s="547">
        <f t="shared" si="6"/>
        <v>650</v>
      </c>
      <c r="AG57" s="547">
        <f t="shared" si="7"/>
        <v>0</v>
      </c>
      <c r="AH57" s="552"/>
      <c r="AI57" s="553"/>
      <c r="AJ57" s="553"/>
      <c r="AK57" s="553"/>
      <c r="AL57" s="553"/>
      <c r="AM57" s="552"/>
      <c r="AN57" s="552"/>
      <c r="AO57" s="552"/>
      <c r="AP57" s="552"/>
      <c r="AQ57" s="552"/>
      <c r="AR57" s="552"/>
      <c r="AS57" s="552"/>
    </row>
    <row r="58" spans="5:45" x14ac:dyDescent="0.25">
      <c r="E58" t="s">
        <v>576</v>
      </c>
      <c r="F58" s="94">
        <v>76.451000000000008</v>
      </c>
      <c r="G58" s="94">
        <v>89.15</v>
      </c>
      <c r="H58" s="94"/>
      <c r="I58" s="94"/>
      <c r="J58" s="94"/>
      <c r="K58" s="94"/>
      <c r="L58" s="90"/>
      <c r="M58" s="237" t="str">
        <f>_xlfn.CONCAT(TEXT($F58,"0.00#"),"mm"," to ",TEXT($G58,"0.00#"),"mm")</f>
        <v>76.451mm to 89.15mm</v>
      </c>
      <c r="N58" s="1292"/>
      <c r="O58" s="1289"/>
      <c r="P58" s="1289"/>
      <c r="Q58" s="238" t="s">
        <v>209</v>
      </c>
      <c r="R58" s="328">
        <f t="shared" si="16"/>
        <v>540</v>
      </c>
      <c r="S58" s="328">
        <f t="shared" si="18"/>
        <v>565</v>
      </c>
      <c r="T58" s="240">
        <v>0</v>
      </c>
      <c r="W58" s="548">
        <v>324</v>
      </c>
      <c r="X58" s="548">
        <v>324</v>
      </c>
      <c r="Y58" s="544">
        <v>0</v>
      </c>
      <c r="Z58" s="544"/>
      <c r="AA58" s="545">
        <f t="shared" si="19"/>
        <v>259.2</v>
      </c>
      <c r="AB58" s="545">
        <f t="shared" si="20"/>
        <v>259.2</v>
      </c>
      <c r="AC58" s="545">
        <f t="shared" si="21"/>
        <v>0</v>
      </c>
      <c r="AD58" s="552"/>
      <c r="AE58" s="547">
        <f t="shared" si="5"/>
        <v>540</v>
      </c>
      <c r="AF58" s="547">
        <f t="shared" si="6"/>
        <v>565</v>
      </c>
      <c r="AG58" s="547">
        <f t="shared" si="7"/>
        <v>0</v>
      </c>
      <c r="AH58" s="552"/>
      <c r="AI58" s="553"/>
      <c r="AJ58" s="553"/>
      <c r="AK58" s="553"/>
      <c r="AL58" s="553"/>
      <c r="AM58" s="552"/>
      <c r="AN58" s="552"/>
      <c r="AO58" s="552"/>
      <c r="AP58" s="552"/>
      <c r="AQ58" s="552"/>
      <c r="AR58" s="552"/>
      <c r="AS58" s="552"/>
    </row>
    <row r="59" spans="5:45" x14ac:dyDescent="0.25">
      <c r="E59" s="72"/>
      <c r="F59" s="72"/>
      <c r="G59" s="72"/>
      <c r="H59" s="72"/>
      <c r="I59" s="72"/>
      <c r="J59" s="72"/>
      <c r="K59" s="72"/>
      <c r="L59" s="72"/>
      <c r="M59" s="241"/>
      <c r="N59" s="242"/>
      <c r="O59" s="242"/>
      <c r="P59" s="242"/>
      <c r="Q59" s="243" t="s">
        <v>196</v>
      </c>
      <c r="R59" s="328">
        <f t="shared" si="16"/>
        <v>490</v>
      </c>
      <c r="S59" s="328">
        <f t="shared" si="18"/>
        <v>515</v>
      </c>
      <c r="T59" s="240">
        <v>0</v>
      </c>
      <c r="W59" s="551">
        <v>295</v>
      </c>
      <c r="X59" s="551">
        <v>295</v>
      </c>
      <c r="Y59" s="551">
        <v>0</v>
      </c>
      <c r="Z59" s="544"/>
      <c r="AA59" s="549">
        <f t="shared" si="19"/>
        <v>236</v>
      </c>
      <c r="AB59" s="549">
        <f t="shared" si="20"/>
        <v>236</v>
      </c>
      <c r="AC59" s="549">
        <f t="shared" si="21"/>
        <v>0</v>
      </c>
      <c r="AD59" s="552"/>
      <c r="AE59" s="550">
        <f t="shared" si="5"/>
        <v>490</v>
      </c>
      <c r="AF59" s="550">
        <f t="shared" si="6"/>
        <v>515</v>
      </c>
      <c r="AG59" s="550">
        <f t="shared" si="7"/>
        <v>0</v>
      </c>
      <c r="AH59" s="552"/>
      <c r="AI59" s="553"/>
      <c r="AJ59" s="553"/>
      <c r="AK59" s="553"/>
      <c r="AL59" s="553"/>
      <c r="AM59" s="552"/>
      <c r="AN59" s="552"/>
      <c r="AO59" s="552"/>
      <c r="AP59" s="552"/>
      <c r="AQ59" s="552"/>
      <c r="AR59" s="552"/>
      <c r="AS59" s="552"/>
    </row>
    <row r="60" spans="5:45" x14ac:dyDescent="0.25">
      <c r="E60" s="72"/>
      <c r="F60" s="72"/>
      <c r="G60" s="72"/>
      <c r="H60" s="72"/>
      <c r="I60" s="72"/>
      <c r="J60" s="72"/>
      <c r="K60" s="72"/>
      <c r="L60" s="72"/>
      <c r="M60" s="225"/>
      <c r="N60" s="226"/>
      <c r="O60" s="226"/>
      <c r="P60" s="226"/>
      <c r="Q60" s="226" t="s">
        <v>198</v>
      </c>
      <c r="R60" s="531">
        <f t="shared" si="16"/>
        <v>825</v>
      </c>
      <c r="S60" s="531">
        <f t="shared" si="18"/>
        <v>865</v>
      </c>
      <c r="T60" s="227">
        <v>0</v>
      </c>
      <c r="W60" s="548">
        <v>494</v>
      </c>
      <c r="X60" s="548">
        <v>494</v>
      </c>
      <c r="Y60" s="544">
        <v>0</v>
      </c>
      <c r="Z60" s="544"/>
      <c r="AA60" s="545">
        <f t="shared" si="19"/>
        <v>395.20000000000005</v>
      </c>
      <c r="AB60" s="545">
        <f t="shared" si="20"/>
        <v>395.20000000000005</v>
      </c>
      <c r="AC60" s="545">
        <f t="shared" si="21"/>
        <v>0</v>
      </c>
      <c r="AD60" s="552"/>
      <c r="AE60" s="547">
        <f t="shared" si="5"/>
        <v>825</v>
      </c>
      <c r="AF60" s="547">
        <f t="shared" si="6"/>
        <v>865</v>
      </c>
      <c r="AG60" s="547">
        <f t="shared" si="7"/>
        <v>0</v>
      </c>
      <c r="AH60" s="552"/>
      <c r="AI60" s="553"/>
      <c r="AJ60" s="553"/>
      <c r="AK60" s="553"/>
      <c r="AL60" s="553"/>
      <c r="AM60" s="552"/>
      <c r="AN60" s="552"/>
      <c r="AO60" s="552"/>
      <c r="AP60" s="552"/>
      <c r="AQ60" s="552"/>
      <c r="AR60" s="552"/>
      <c r="AS60" s="552"/>
    </row>
    <row r="61" spans="5:45" x14ac:dyDescent="0.25">
      <c r="E61" t="s">
        <v>6</v>
      </c>
      <c r="F61" s="93">
        <f>G57+0.0001</f>
        <v>3.5101</v>
      </c>
      <c r="G61" s="93">
        <v>4.01</v>
      </c>
      <c r="H61" s="90"/>
      <c r="I61" s="90"/>
      <c r="J61" s="90"/>
      <c r="K61" s="90"/>
      <c r="L61" s="90"/>
      <c r="M61" s="244" t="str">
        <f>_xlfn.CONCAT(TEXT($F61,"#.000#"),""""," to ",TEXT($G61,"#.000#"),"""")</f>
        <v>3.5101" to 4.010"</v>
      </c>
      <c r="N61" s="1291">
        <v>10</v>
      </c>
      <c r="O61" s="1290">
        <v>6.25</v>
      </c>
      <c r="P61" s="1290">
        <v>0.75</v>
      </c>
      <c r="Q61" s="229" t="s">
        <v>197</v>
      </c>
      <c r="R61" s="315">
        <f t="shared" si="16"/>
        <v>690</v>
      </c>
      <c r="S61" s="315">
        <f t="shared" si="18"/>
        <v>725</v>
      </c>
      <c r="T61" s="142">
        <v>0</v>
      </c>
      <c r="W61" s="548">
        <v>415</v>
      </c>
      <c r="X61" s="548">
        <v>415</v>
      </c>
      <c r="Y61" s="544">
        <v>0</v>
      </c>
      <c r="Z61" s="544"/>
      <c r="AA61" s="545">
        <f t="shared" si="19"/>
        <v>332</v>
      </c>
      <c r="AB61" s="545">
        <f t="shared" si="20"/>
        <v>332</v>
      </c>
      <c r="AC61" s="545">
        <f t="shared" si="21"/>
        <v>0</v>
      </c>
      <c r="AD61" s="552"/>
      <c r="AE61" s="547">
        <f t="shared" si="5"/>
        <v>690</v>
      </c>
      <c r="AF61" s="547">
        <f t="shared" si="6"/>
        <v>725</v>
      </c>
      <c r="AG61" s="547">
        <f t="shared" si="7"/>
        <v>0</v>
      </c>
      <c r="AH61" s="552"/>
      <c r="AI61" s="553"/>
      <c r="AJ61" s="553"/>
      <c r="AK61" s="553"/>
      <c r="AL61" s="553"/>
      <c r="AM61" s="552"/>
      <c r="AN61" s="552"/>
      <c r="AO61" s="552"/>
      <c r="AP61" s="552"/>
      <c r="AQ61" s="552"/>
      <c r="AR61" s="552"/>
      <c r="AS61" s="552"/>
    </row>
    <row r="62" spans="5:45" x14ac:dyDescent="0.25">
      <c r="E62" t="s">
        <v>576</v>
      </c>
      <c r="F62" s="94">
        <v>89.15100000000001</v>
      </c>
      <c r="G62" s="94">
        <v>101.85</v>
      </c>
      <c r="H62" s="94"/>
      <c r="I62" s="94"/>
      <c r="J62" s="94"/>
      <c r="K62" s="94"/>
      <c r="L62" s="90"/>
      <c r="M62" s="244" t="str">
        <f>_xlfn.CONCAT(TEXT($F62,"0.00#"),"mm"," to ",TEXT($G62,"0.00#"),"mm")</f>
        <v>89.151mm to 101.85mm</v>
      </c>
      <c r="N62" s="1291"/>
      <c r="O62" s="1290"/>
      <c r="P62" s="1290"/>
      <c r="Q62" s="229" t="s">
        <v>209</v>
      </c>
      <c r="R62" s="315">
        <f t="shared" si="16"/>
        <v>605</v>
      </c>
      <c r="S62" s="315">
        <f t="shared" si="18"/>
        <v>635</v>
      </c>
      <c r="T62" s="142">
        <v>0</v>
      </c>
      <c r="W62" s="548">
        <v>362</v>
      </c>
      <c r="X62" s="548">
        <v>362</v>
      </c>
      <c r="Y62" s="544">
        <v>0</v>
      </c>
      <c r="Z62" s="544"/>
      <c r="AA62" s="545">
        <f t="shared" si="19"/>
        <v>289.60000000000002</v>
      </c>
      <c r="AB62" s="545">
        <f t="shared" si="20"/>
        <v>289.60000000000002</v>
      </c>
      <c r="AC62" s="545">
        <f t="shared" si="21"/>
        <v>0</v>
      </c>
      <c r="AD62" s="552"/>
      <c r="AE62" s="547">
        <f t="shared" si="5"/>
        <v>605</v>
      </c>
      <c r="AF62" s="547">
        <f t="shared" si="6"/>
        <v>635</v>
      </c>
      <c r="AG62" s="547">
        <f t="shared" si="7"/>
        <v>0</v>
      </c>
      <c r="AH62" s="552"/>
      <c r="AI62" s="553"/>
      <c r="AJ62" s="553"/>
      <c r="AK62" s="553"/>
      <c r="AL62" s="553"/>
      <c r="AM62" s="552"/>
      <c r="AN62" s="552"/>
      <c r="AO62" s="552"/>
      <c r="AP62" s="552"/>
      <c r="AQ62" s="552"/>
      <c r="AR62" s="552"/>
      <c r="AS62" s="552"/>
    </row>
    <row r="63" spans="5:45" ht="15.75" thickBot="1" x14ac:dyDescent="0.3">
      <c r="M63" s="135"/>
      <c r="N63" s="246"/>
      <c r="O63" s="246"/>
      <c r="P63" s="246"/>
      <c r="Q63" s="247" t="s">
        <v>196</v>
      </c>
      <c r="R63" s="340">
        <f t="shared" si="16"/>
        <v>570</v>
      </c>
      <c r="S63" s="340">
        <f t="shared" si="18"/>
        <v>595</v>
      </c>
      <c r="T63" s="248">
        <v>0</v>
      </c>
      <c r="W63" s="548">
        <v>341</v>
      </c>
      <c r="X63" s="548">
        <v>341</v>
      </c>
      <c r="Y63" s="544">
        <v>0</v>
      </c>
      <c r="Z63" s="544"/>
      <c r="AA63" s="545">
        <f t="shared" si="19"/>
        <v>272.8</v>
      </c>
      <c r="AB63" s="545">
        <f t="shared" si="20"/>
        <v>272.8</v>
      </c>
      <c r="AC63" s="545">
        <f t="shared" si="21"/>
        <v>0</v>
      </c>
      <c r="AD63" s="552"/>
      <c r="AE63" s="547">
        <f t="shared" si="5"/>
        <v>570</v>
      </c>
      <c r="AF63" s="547">
        <f t="shared" si="6"/>
        <v>595</v>
      </c>
      <c r="AG63" s="547">
        <f t="shared" si="7"/>
        <v>0</v>
      </c>
      <c r="AH63" s="552"/>
      <c r="AI63" s="553"/>
      <c r="AJ63" s="553"/>
      <c r="AK63" s="553"/>
      <c r="AL63" s="553"/>
      <c r="AM63" s="552"/>
      <c r="AN63" s="552"/>
      <c r="AO63" s="552"/>
      <c r="AP63" s="552"/>
      <c r="AQ63" s="552"/>
      <c r="AR63" s="552"/>
      <c r="AS63" s="552"/>
    </row>
    <row r="64" spans="5:45" x14ac:dyDescent="0.25">
      <c r="T64" s="132"/>
      <c r="Y64" s="296"/>
    </row>
    <row r="65" spans="13:25" x14ac:dyDescent="0.25">
      <c r="M65" s="17" t="s">
        <v>957</v>
      </c>
      <c r="T65" s="132"/>
      <c r="Y65" s="296"/>
    </row>
    <row r="66" spans="13:25" x14ac:dyDescent="0.25">
      <c r="T66" s="132"/>
      <c r="Y66" s="296"/>
    </row>
    <row r="67" spans="13:25" x14ac:dyDescent="0.25">
      <c r="T67" s="132"/>
      <c r="Y67" s="296"/>
    </row>
    <row r="68" spans="13:25" x14ac:dyDescent="0.25">
      <c r="T68" s="132"/>
    </row>
    <row r="69" spans="13:25" x14ac:dyDescent="0.25">
      <c r="T69" s="132"/>
    </row>
    <row r="70" spans="13:25" x14ac:dyDescent="0.25">
      <c r="T70" s="132"/>
    </row>
    <row r="71" spans="13:25" x14ac:dyDescent="0.25">
      <c r="T71" s="132"/>
    </row>
    <row r="72" spans="13:25" x14ac:dyDescent="0.25">
      <c r="T72" s="132"/>
    </row>
    <row r="73" spans="13:25" ht="15.75" x14ac:dyDescent="0.25">
      <c r="T73" s="48"/>
    </row>
    <row r="74" spans="13:25" ht="15.75" x14ac:dyDescent="0.25">
      <c r="T74" s="48"/>
    </row>
    <row r="75" spans="13:25" ht="15.75" x14ac:dyDescent="0.25">
      <c r="T75" s="48"/>
    </row>
    <row r="76" spans="13:25" ht="15.75" x14ac:dyDescent="0.25">
      <c r="T76" s="48"/>
    </row>
    <row r="77" spans="13:25" ht="15.75" x14ac:dyDescent="0.25">
      <c r="T77" s="48"/>
    </row>
  </sheetData>
  <sheetProtection algorithmName="SHA-512" hashValue="/iqn5CCgHr52DnwEkgpmDd8clsPPvdnCRK452Kl4b+2YEVwTX70CLmMi6VLSs7mtBz1guMrFLgmDvMQOeIvRcg==" saltValue="SOX2/qZp19HSW/HhQzTusA==" spinCount="100000" sheet="1" objects="1" scenarios="1"/>
  <mergeCells count="39">
    <mergeCell ref="N13:N14"/>
    <mergeCell ref="N17:N18"/>
    <mergeCell ref="N21:N22"/>
    <mergeCell ref="N25:N26"/>
    <mergeCell ref="N29:N30"/>
    <mergeCell ref="N33:N34"/>
    <mergeCell ref="N37:N38"/>
    <mergeCell ref="N41:N42"/>
    <mergeCell ref="N45:N46"/>
    <mergeCell ref="N49:N50"/>
    <mergeCell ref="N53:N54"/>
    <mergeCell ref="N57:N58"/>
    <mergeCell ref="N61:N62"/>
    <mergeCell ref="O61:O62"/>
    <mergeCell ref="P61:P62"/>
    <mergeCell ref="O57:O58"/>
    <mergeCell ref="P57:P58"/>
    <mergeCell ref="O13:O14"/>
    <mergeCell ref="P13:P14"/>
    <mergeCell ref="O17:O18"/>
    <mergeCell ref="P17:P18"/>
    <mergeCell ref="O21:O22"/>
    <mergeCell ref="P21:P22"/>
    <mergeCell ref="O25:O26"/>
    <mergeCell ref="P25:P26"/>
    <mergeCell ref="P33:P34"/>
    <mergeCell ref="O33:O34"/>
    <mergeCell ref="P29:P30"/>
    <mergeCell ref="O29:O30"/>
    <mergeCell ref="P41:P42"/>
    <mergeCell ref="O41:O42"/>
    <mergeCell ref="P37:P38"/>
    <mergeCell ref="O37:O38"/>
    <mergeCell ref="P53:P54"/>
    <mergeCell ref="O53:O54"/>
    <mergeCell ref="P49:P50"/>
    <mergeCell ref="O49:O50"/>
    <mergeCell ref="P45:P46"/>
    <mergeCell ref="O45:O46"/>
  </mergeCells>
  <conditionalFormatting sqref="M5:M8 Q6:Q7">
    <cfRule type="expression" dxfId="17" priority="1">
      <formula>#REF!="y"</formula>
    </cfRule>
  </conditionalFormatting>
  <pageMargins left="2.5000000000000001E-2" right="2.5000000000000001E-2" top="0.25" bottom="0.1" header="0.3" footer="0.3"/>
  <pageSetup scale="80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F7275-3168-4611-9EC4-FFFAA9EE3F8A}">
  <sheetPr codeName="Sheet19">
    <outlinePr summaryBelow="0"/>
    <pageSetUpPr autoPageBreaks="0"/>
  </sheetPr>
  <dimension ref="A1:AJ72"/>
  <sheetViews>
    <sheetView showGridLines="0" zoomScale="90" zoomScaleNormal="90" workbookViewId="0">
      <selection activeCell="S76" sqref="S76"/>
    </sheetView>
  </sheetViews>
  <sheetFormatPr defaultRowHeight="15" outlineLevelRow="1" outlineLevelCol="1" x14ac:dyDescent="0.25"/>
  <cols>
    <col min="1" max="1" width="2.7109375" customWidth="1"/>
    <col min="2" max="4" width="8.28515625" hidden="1" customWidth="1" outlineLevel="1"/>
    <col min="5" max="5" width="1.7109375" hidden="1" customWidth="1" outlineLevel="1"/>
    <col min="6" max="6" width="8.28515625" style="11" hidden="1" customWidth="1" outlineLevel="1"/>
    <col min="7" max="7" width="8.28515625" hidden="1" customWidth="1" outlineLevel="1"/>
    <col min="8" max="8" width="1.7109375" hidden="1" customWidth="1" outlineLevel="1"/>
    <col min="9" max="9" width="10.5703125" hidden="1" customWidth="1" outlineLevel="1"/>
    <col min="10" max="10" width="1.7109375" hidden="1" customWidth="1" outlineLevel="1"/>
    <col min="11" max="13" width="10.5703125" hidden="1" customWidth="1" outlineLevel="1"/>
    <col min="14" max="14" width="1.7109375" hidden="1" customWidth="1" outlineLevel="1"/>
    <col min="15" max="17" width="10.5703125" hidden="1" customWidth="1" outlineLevel="1"/>
    <col min="18" max="18" width="1.7109375" hidden="1" customWidth="1" outlineLevel="1"/>
    <col min="19" max="19" width="12.28515625" customWidth="1" collapsed="1"/>
    <col min="20" max="20" width="12.42578125" customWidth="1"/>
    <col min="21" max="21" width="12.5703125" style="11" customWidth="1"/>
    <col min="22" max="23" width="12.42578125" style="11" customWidth="1"/>
    <col min="24" max="28" width="13.5703125" customWidth="1"/>
    <col min="29" max="29" width="2.7109375" customWidth="1"/>
    <col min="30" max="30" width="21.85546875" hidden="1" customWidth="1" outlineLevel="1"/>
    <col min="31" max="32" width="10.42578125" hidden="1" customWidth="1" outlineLevel="1"/>
    <col min="33" max="35" width="19.42578125" hidden="1" customWidth="1" outlineLevel="1"/>
    <col min="36" max="36" width="14.85546875" customWidth="1" collapsed="1"/>
  </cols>
  <sheetData>
    <row r="1" spans="2:30" ht="9.9499999999999993" customHeight="1" x14ac:dyDescent="0.25"/>
    <row r="2" spans="2:30" ht="21" x14ac:dyDescent="0.35">
      <c r="S2" s="386" t="s">
        <v>620</v>
      </c>
      <c r="T2" s="88"/>
      <c r="AD2" s="860" t="s">
        <v>1133</v>
      </c>
    </row>
    <row r="3" spans="2:30" ht="18.75" x14ac:dyDescent="0.3">
      <c r="S3" s="444" t="s">
        <v>651</v>
      </c>
      <c r="T3" s="88"/>
    </row>
    <row r="4" spans="2:30" x14ac:dyDescent="0.25">
      <c r="B4" s="72"/>
      <c r="D4" s="401"/>
      <c r="E4" s="401"/>
      <c r="F4" s="403"/>
    </row>
    <row r="5" spans="2:30" x14ac:dyDescent="0.25">
      <c r="B5" s="574" t="s">
        <v>859</v>
      </c>
      <c r="C5" s="574" t="s">
        <v>860</v>
      </c>
      <c r="K5" s="396" t="s">
        <v>635</v>
      </c>
      <c r="L5" s="400" t="s">
        <v>644</v>
      </c>
      <c r="M5" s="401"/>
      <c r="N5" s="401"/>
      <c r="O5" s="403"/>
      <c r="S5" s="396" t="str">
        <f>_xlfn.CONCAT($K$5,"  ",L5)</f>
        <v>•  Class XX, X, Y, or Z</v>
      </c>
    </row>
    <row r="6" spans="2:30" x14ac:dyDescent="0.25">
      <c r="B6" s="2">
        <v>290</v>
      </c>
      <c r="C6" s="2" t="s">
        <v>823</v>
      </c>
      <c r="K6" s="72"/>
      <c r="L6" s="13" t="s">
        <v>665</v>
      </c>
      <c r="M6" s="401"/>
      <c r="N6" s="401"/>
      <c r="O6" s="403"/>
      <c r="S6" s="396" t="str">
        <f>_xlfn.CONCAT($K$5,"  ",L6)</f>
        <v>•  Go (Plus), NoGo (Minus), or Master* (Bilateral) tolerance</v>
      </c>
    </row>
    <row r="7" spans="2:30" x14ac:dyDescent="0.25">
      <c r="B7" t="s">
        <v>696</v>
      </c>
      <c r="K7" s="401"/>
      <c r="L7" s="13" t="s">
        <v>489</v>
      </c>
      <c r="M7" s="401"/>
      <c r="N7" s="401"/>
      <c r="O7" s="403"/>
      <c r="S7" s="396" t="str">
        <f>_xlfn.CONCAT($K$5,"  ",L7)</f>
        <v>•  Available in steel only</v>
      </c>
    </row>
    <row r="8" spans="2:30" x14ac:dyDescent="0.25">
      <c r="K8" s="401"/>
      <c r="L8" s="77" t="s">
        <v>657</v>
      </c>
      <c r="M8" s="401"/>
      <c r="N8" s="401"/>
      <c r="O8" s="403"/>
      <c r="S8" s="396" t="str">
        <f>_xlfn.CONCAT($K$5,"  ",L8)</f>
        <v>•  Custom marking available – $15 per handle flat</v>
      </c>
    </row>
    <row r="9" spans="2:30" ht="15.75" collapsed="1" thickBot="1" x14ac:dyDescent="0.3">
      <c r="B9" s="89"/>
      <c r="C9" s="89"/>
      <c r="D9" s="89"/>
      <c r="E9" s="89"/>
      <c r="F9" s="251"/>
    </row>
    <row r="10" spans="2:30" ht="15.75" hidden="1" outlineLevel="1" thickBot="1" x14ac:dyDescent="0.3">
      <c r="B10" s="89"/>
      <c r="C10" s="89"/>
      <c r="D10" s="89"/>
      <c r="E10" s="89"/>
      <c r="F10" s="615" t="s">
        <v>680</v>
      </c>
      <c r="G10" s="616" t="s">
        <v>568</v>
      </c>
    </row>
    <row r="11" spans="2:30" ht="15.75" hidden="1" outlineLevel="1" thickBot="1" x14ac:dyDescent="0.3">
      <c r="B11" s="89"/>
      <c r="C11" s="89"/>
      <c r="D11" s="89"/>
      <c r="E11" s="89"/>
      <c r="F11" s="539">
        <v>1</v>
      </c>
      <c r="G11" s="296">
        <v>18</v>
      </c>
    </row>
    <row r="12" spans="2:30" ht="15.75" hidden="1" outlineLevel="1" thickBot="1" x14ac:dyDescent="0.3">
      <c r="B12" s="89"/>
      <c r="C12" s="89"/>
      <c r="D12" s="89"/>
      <c r="E12" s="89"/>
      <c r="F12" s="539">
        <v>2</v>
      </c>
      <c r="G12" s="296">
        <v>19</v>
      </c>
    </row>
    <row r="13" spans="2:30" ht="15.75" hidden="1" outlineLevel="1" thickBot="1" x14ac:dyDescent="0.3">
      <c r="B13" s="89"/>
      <c r="C13" s="89"/>
      <c r="D13" s="89"/>
      <c r="E13" s="89"/>
      <c r="F13" s="539">
        <v>3</v>
      </c>
      <c r="G13" s="296">
        <v>20</v>
      </c>
    </row>
    <row r="14" spans="2:30" ht="15.75" hidden="1" outlineLevel="1" thickBot="1" x14ac:dyDescent="0.3">
      <c r="B14" s="89"/>
      <c r="C14" s="89"/>
      <c r="D14" s="89"/>
      <c r="E14" s="89"/>
      <c r="F14" s="539">
        <v>4</v>
      </c>
      <c r="G14" s="296">
        <v>21</v>
      </c>
    </row>
    <row r="15" spans="2:30" ht="15.75" hidden="1" outlineLevel="1" thickBot="1" x14ac:dyDescent="0.3">
      <c r="B15" s="89"/>
      <c r="C15" s="89"/>
      <c r="D15" s="89"/>
      <c r="E15" s="89"/>
      <c r="F15" s="539">
        <v>5</v>
      </c>
      <c r="G15" s="296">
        <v>22</v>
      </c>
    </row>
    <row r="16" spans="2:30" ht="15.75" hidden="1" outlineLevel="1" thickBot="1" x14ac:dyDescent="0.3">
      <c r="B16" s="89"/>
      <c r="C16" s="89"/>
      <c r="D16" s="89"/>
      <c r="E16" s="89"/>
      <c r="F16" s="251"/>
      <c r="G16" s="296"/>
    </row>
    <row r="17" spans="1:35" s="72" customFormat="1" ht="15.75" x14ac:dyDescent="0.25">
      <c r="A17"/>
      <c r="B17" s="72" t="s">
        <v>603</v>
      </c>
      <c r="D17" s="95">
        <v>0.2</v>
      </c>
      <c r="F17" s="249"/>
      <c r="P17"/>
      <c r="Q17"/>
      <c r="S17" s="914" t="str">
        <f>S2</f>
        <v>Taperlocks</v>
      </c>
      <c r="T17" s="597"/>
      <c r="U17" s="597"/>
      <c r="V17" s="597"/>
      <c r="W17" s="597"/>
      <c r="X17" s="597"/>
      <c r="Y17" s="597"/>
      <c r="Z17" s="597"/>
      <c r="AA17" s="597"/>
      <c r="AB17" s="598"/>
      <c r="AD17" s="915" t="s">
        <v>1134</v>
      </c>
      <c r="AE17" s="592"/>
      <c r="AF17" s="592"/>
      <c r="AG17" s="592"/>
      <c r="AH17" s="597"/>
      <c r="AI17" s="598"/>
    </row>
    <row r="18" spans="1:35" s="72" customFormat="1" ht="17.25" customHeight="1" x14ac:dyDescent="0.25">
      <c r="A18"/>
      <c r="B18" s="72" t="s">
        <v>694</v>
      </c>
      <c r="D18" s="476">
        <v>5</v>
      </c>
      <c r="F18" s="249"/>
      <c r="H18"/>
      <c r="I18"/>
      <c r="J18"/>
      <c r="K18" s="488" t="s">
        <v>188</v>
      </c>
      <c r="L18" s="538"/>
      <c r="M18" s="538"/>
      <c r="N18"/>
      <c r="O18" s="488" t="s">
        <v>215</v>
      </c>
      <c r="P18" s="538"/>
      <c r="Q18" s="538"/>
      <c r="S18" s="1300" t="s">
        <v>3</v>
      </c>
      <c r="T18" s="1301"/>
      <c r="U18" s="96" t="s">
        <v>598</v>
      </c>
      <c r="V18" s="97"/>
      <c r="W18" s="1304" t="s">
        <v>573</v>
      </c>
      <c r="X18" s="96" t="s">
        <v>599</v>
      </c>
      <c r="Y18" s="97"/>
      <c r="Z18" s="96" t="s">
        <v>600</v>
      </c>
      <c r="AA18" s="96"/>
      <c r="AB18" s="98"/>
      <c r="AD18" s="1309" t="s">
        <v>3</v>
      </c>
      <c r="AE18" s="1304" t="s">
        <v>397</v>
      </c>
      <c r="AF18" s="1298" t="s">
        <v>573</v>
      </c>
      <c r="AG18" s="1298" t="s">
        <v>597</v>
      </c>
      <c r="AH18" s="1298" t="s">
        <v>596</v>
      </c>
      <c r="AI18" s="1307" t="s">
        <v>601</v>
      </c>
    </row>
    <row r="19" spans="1:35" s="72" customFormat="1" x14ac:dyDescent="0.25">
      <c r="A19"/>
      <c r="F19" s="264"/>
      <c r="G19" s="264"/>
      <c r="H19"/>
      <c r="I19" s="265"/>
      <c r="J19"/>
      <c r="K19" s="571" t="s">
        <v>622</v>
      </c>
      <c r="L19" s="571" t="s">
        <v>623</v>
      </c>
      <c r="M19" s="571" t="s">
        <v>626</v>
      </c>
      <c r="N19" s="17"/>
      <c r="O19" s="571" t="s">
        <v>622</v>
      </c>
      <c r="P19" s="571" t="s">
        <v>623</v>
      </c>
      <c r="Q19" s="571" t="s">
        <v>626</v>
      </c>
      <c r="S19" s="1302"/>
      <c r="T19" s="1303"/>
      <c r="U19" s="100" t="s">
        <v>597</v>
      </c>
      <c r="V19" s="100" t="s">
        <v>596</v>
      </c>
      <c r="W19" s="1299"/>
      <c r="X19" s="100" t="s">
        <v>597</v>
      </c>
      <c r="Y19" s="100" t="s">
        <v>596</v>
      </c>
      <c r="Z19" s="100" t="s">
        <v>597</v>
      </c>
      <c r="AA19" s="100" t="s">
        <v>596</v>
      </c>
      <c r="AB19" s="101" t="s">
        <v>601</v>
      </c>
      <c r="AD19" s="1310"/>
      <c r="AE19" s="1299"/>
      <c r="AF19" s="1299"/>
      <c r="AG19" s="1299"/>
      <c r="AH19" s="1299"/>
      <c r="AI19" s="1308"/>
    </row>
    <row r="20" spans="1:35" x14ac:dyDescent="0.25">
      <c r="F20" s="11">
        <v>1</v>
      </c>
      <c r="G20" s="262">
        <f>_xlfn.XLOOKUP(F20,$F$11:$F$15,$G$11:$G$15)</f>
        <v>18</v>
      </c>
      <c r="I20" s="528">
        <v>0.35</v>
      </c>
      <c r="K20" s="296">
        <v>101</v>
      </c>
      <c r="L20" s="296">
        <v>110</v>
      </c>
      <c r="M20" s="569">
        <f>((L20-K20)/K20)</f>
        <v>8.9108910891089105E-2</v>
      </c>
      <c r="O20" s="296">
        <v>97</v>
      </c>
      <c r="P20" s="529">
        <f>MROUND((1+$M20)*O20,5)</f>
        <v>105</v>
      </c>
      <c r="Q20" s="569">
        <f>((P20-O20)/O20)</f>
        <v>8.247422680412371E-2</v>
      </c>
      <c r="S20" s="102"/>
      <c r="U20" s="103"/>
      <c r="V20" s="103"/>
      <c r="W20" s="104" t="s">
        <v>198</v>
      </c>
      <c r="X20" s="105">
        <f>L20</f>
        <v>110</v>
      </c>
      <c r="Y20" s="105">
        <f>P20</f>
        <v>105</v>
      </c>
      <c r="Z20" s="105">
        <f t="shared" ref="Z20:Z39" si="0">MROUND((1+$D$17)*($X20+$G20),$D$18)</f>
        <v>155</v>
      </c>
      <c r="AA20" s="105">
        <f t="shared" ref="AA20:AA39" si="1">MROUND((1+$D$17)*($Y20+$G20),$D$18)</f>
        <v>150</v>
      </c>
      <c r="AB20" s="106">
        <f t="shared" ref="AB20:AB39" si="2">MROUND((1+$D$17)*($X20+$G20+$Y20),$D$18)</f>
        <v>280</v>
      </c>
      <c r="AD20" s="126"/>
      <c r="AE20" s="1305">
        <v>1</v>
      </c>
      <c r="AF20" s="229" t="s">
        <v>198</v>
      </c>
      <c r="AG20" s="249" t="str">
        <f>_xlfn.XLOOKUP($F20,$AE$45:$AE$49,AG$45:AG$49)</f>
        <v>ASSY-TP-XX-1-GO</v>
      </c>
      <c r="AH20" s="226" t="str">
        <f>_xlfn.XLOOKUP($F20,$AE$45:$AE$49,AH$45:AH$49)</f>
        <v>ASSY-TP-XX-1-NG</v>
      </c>
      <c r="AI20" s="882" t="str">
        <f>_xlfn.XLOOKUP($F20,$AE$45:$AE$49,AI$45:AI$49)</f>
        <v>ASSY-TP-XX-1</v>
      </c>
    </row>
    <row r="21" spans="1:35" x14ac:dyDescent="0.25">
      <c r="B21" t="s">
        <v>6</v>
      </c>
      <c r="C21" s="93">
        <v>0.2301</v>
      </c>
      <c r="D21" s="93">
        <v>0.36499999999999999</v>
      </c>
      <c r="E21" s="90"/>
      <c r="F21" s="11">
        <f t="shared" ref="F21:G23" si="3">F20</f>
        <v>1</v>
      </c>
      <c r="G21" s="252">
        <f t="shared" si="3"/>
        <v>18</v>
      </c>
      <c r="I21" s="528">
        <v>0.2</v>
      </c>
      <c r="K21" s="296">
        <v>77</v>
      </c>
      <c r="L21" s="296">
        <v>80</v>
      </c>
      <c r="M21" s="569">
        <f t="shared" ref="M21:M39" si="4">((L21-K21)/K21)</f>
        <v>3.896103896103896E-2</v>
      </c>
      <c r="O21" s="296">
        <v>76</v>
      </c>
      <c r="P21" s="529">
        <f t="shared" ref="P21:P39" si="5">MROUND((1+$M21)*O21,5)</f>
        <v>80</v>
      </c>
      <c r="Q21" s="569">
        <f t="shared" ref="Q21:Q39" si="6">((P21-O21)/O21)</f>
        <v>5.2631578947368418E-2</v>
      </c>
      <c r="S21" s="107" t="str">
        <f>_xlfn.CONCAT(TEXT($C21,"#.0000"),""""," to ",TEXT($D21,"#.000#"),"""")</f>
        <v>.2301" to .365"</v>
      </c>
      <c r="T21" s="108"/>
      <c r="U21" s="105" t="s">
        <v>581</v>
      </c>
      <c r="V21" s="105" t="s">
        <v>216</v>
      </c>
      <c r="W21" s="104" t="s">
        <v>197</v>
      </c>
      <c r="X21" s="105">
        <f t="shared" ref="X21:X39" si="7">L21</f>
        <v>80</v>
      </c>
      <c r="Y21" s="105">
        <f t="shared" ref="Y21:Y39" si="8">P21</f>
        <v>80</v>
      </c>
      <c r="Z21" s="105">
        <f t="shared" si="0"/>
        <v>120</v>
      </c>
      <c r="AA21" s="105">
        <f t="shared" si="1"/>
        <v>120</v>
      </c>
      <c r="AB21" s="106">
        <f>MROUND((1+$D$17)*($X21+$G21+$Y21),$D$18)</f>
        <v>215</v>
      </c>
      <c r="AD21" s="107" t="str">
        <f>_xlfn.CONCAT(TEXT($C21,"#.0000"),""""," - ",TEXT($D21,"#.000#"),"""")</f>
        <v>.2301" - .365"</v>
      </c>
      <c r="AE21" s="1306"/>
      <c r="AF21" s="229" t="s">
        <v>197</v>
      </c>
      <c r="AG21" s="249" t="str">
        <f>_xlfn.XLOOKUP($F21,$AE$51:$AE$55,AG$51:AG$55)</f>
        <v>ASSY-TP-X-1-GO</v>
      </c>
      <c r="AH21" s="229" t="str">
        <f>_xlfn.XLOOKUP($F21,$AE$51:$AE$55,AH$51:AH$55)</f>
        <v>ASSY-TP-X-1-NG</v>
      </c>
      <c r="AI21" s="882" t="str">
        <f>_xlfn.XLOOKUP($F21,$AE$51:$AE$55,AI$51:AI$55)</f>
        <v>ASSY-TP-X-1</v>
      </c>
    </row>
    <row r="22" spans="1:35" x14ac:dyDescent="0.25">
      <c r="B22" t="s">
        <v>576</v>
      </c>
      <c r="C22" s="94">
        <v>5.851</v>
      </c>
      <c r="D22" s="94">
        <v>9.27</v>
      </c>
      <c r="E22" s="90"/>
      <c r="F22" s="11">
        <f t="shared" si="3"/>
        <v>1</v>
      </c>
      <c r="G22" s="252">
        <f t="shared" si="3"/>
        <v>18</v>
      </c>
      <c r="I22" s="528">
        <v>0.2</v>
      </c>
      <c r="K22" s="296">
        <v>70</v>
      </c>
      <c r="L22" s="296">
        <v>75</v>
      </c>
      <c r="M22" s="569">
        <f t="shared" si="4"/>
        <v>7.1428571428571425E-2</v>
      </c>
      <c r="O22" s="296">
        <v>69</v>
      </c>
      <c r="P22" s="529">
        <f t="shared" si="5"/>
        <v>75</v>
      </c>
      <c r="Q22" s="569">
        <f t="shared" si="6"/>
        <v>8.6956521739130432E-2</v>
      </c>
      <c r="S22" s="107" t="str">
        <f>_xlfn.CONCAT(TEXT($C22,"0.00#"),"mm"," to ",TEXT($D22,"0.00#"),"mm")</f>
        <v>5.851mm to 9.27mm</v>
      </c>
      <c r="T22" s="108"/>
      <c r="U22" s="109" t="s">
        <v>579</v>
      </c>
      <c r="V22" s="109" t="s">
        <v>595</v>
      </c>
      <c r="W22" s="104" t="s">
        <v>209</v>
      </c>
      <c r="X22" s="105">
        <f t="shared" si="7"/>
        <v>75</v>
      </c>
      <c r="Y22" s="105">
        <f t="shared" si="8"/>
        <v>75</v>
      </c>
      <c r="Z22" s="105">
        <f t="shared" si="0"/>
        <v>110</v>
      </c>
      <c r="AA22" s="105">
        <f t="shared" si="1"/>
        <v>110</v>
      </c>
      <c r="AB22" s="106">
        <f t="shared" si="2"/>
        <v>200</v>
      </c>
      <c r="AD22" s="107" t="str">
        <f>_xlfn.CONCAT(TEXT($C22,"0.00#")," - ",TEXT($D22,"0.00#"),"mm")</f>
        <v>5.851 - 9.27mm</v>
      </c>
      <c r="AE22" s="1306"/>
      <c r="AF22" s="229" t="s">
        <v>209</v>
      </c>
      <c r="AG22" s="249" t="str">
        <f>_xlfn.XLOOKUP($F22,$AE$57:$AE$61,AG$57:AG$61)</f>
        <v>ASSY-TP-Y-1-GO</v>
      </c>
      <c r="AH22" s="229" t="str">
        <f>_xlfn.XLOOKUP($F22,$AE$57:$AE$61,AH$57:AH$61)</f>
        <v>ASSY-TP-Y-1-NG</v>
      </c>
      <c r="AI22" s="882" t="str">
        <f>_xlfn.XLOOKUP($F22,$AE$57:$AE$61,AI$57:AI$61)</f>
        <v>ASSY-TP-Y-1</v>
      </c>
    </row>
    <row r="23" spans="1:35" x14ac:dyDescent="0.25">
      <c r="C23" s="93"/>
      <c r="D23" s="93"/>
      <c r="E23" s="90"/>
      <c r="F23" s="566">
        <f t="shared" si="3"/>
        <v>1</v>
      </c>
      <c r="G23" s="267">
        <f t="shared" si="3"/>
        <v>18</v>
      </c>
      <c r="I23" s="535">
        <v>0.2</v>
      </c>
      <c r="K23" s="530">
        <v>66</v>
      </c>
      <c r="L23" s="530">
        <v>70</v>
      </c>
      <c r="M23" s="570">
        <f t="shared" si="4"/>
        <v>6.0606060606060608E-2</v>
      </c>
      <c r="O23" s="530">
        <v>65</v>
      </c>
      <c r="P23" s="555">
        <f t="shared" si="5"/>
        <v>70</v>
      </c>
      <c r="Q23" s="570">
        <f t="shared" si="6"/>
        <v>7.6923076923076927E-2</v>
      </c>
      <c r="S23" s="102"/>
      <c r="U23" s="109"/>
      <c r="V23" s="110"/>
      <c r="W23" s="104" t="s">
        <v>196</v>
      </c>
      <c r="X23" s="105">
        <f t="shared" si="7"/>
        <v>70</v>
      </c>
      <c r="Y23" s="105">
        <f t="shared" si="8"/>
        <v>70</v>
      </c>
      <c r="Z23" s="105">
        <f t="shared" si="0"/>
        <v>105</v>
      </c>
      <c r="AA23" s="105">
        <f t="shared" si="1"/>
        <v>105</v>
      </c>
      <c r="AB23" s="106">
        <f t="shared" si="2"/>
        <v>190</v>
      </c>
      <c r="AD23" s="102"/>
      <c r="AE23" s="1306"/>
      <c r="AF23" s="229" t="s">
        <v>196</v>
      </c>
      <c r="AG23" s="249" t="str">
        <f>_xlfn.XLOOKUP($F23,$AE$63:$AE$67,AG$63:AG$67)</f>
        <v>ASSY-TP-Z-1-GO</v>
      </c>
      <c r="AH23" s="229" t="str">
        <f>_xlfn.XLOOKUP($F23,$AE$63:$AE$67,AH$63:AH$67)</f>
        <v>ASSY-TP-Z-1-NG</v>
      </c>
      <c r="AI23" s="882" t="str">
        <f>_xlfn.XLOOKUP($F23,$AE$63:$AE$67,AI$63:AI$67)</f>
        <v>ASSY-TP-Z-1</v>
      </c>
    </row>
    <row r="24" spans="1:35" x14ac:dyDescent="0.25">
      <c r="C24" s="250"/>
      <c r="D24" s="250"/>
      <c r="F24" s="11">
        <v>2</v>
      </c>
      <c r="G24" s="262">
        <f>_xlfn.XLOOKUP(F24,$F$11:$F$15,$G$11:$G$15)</f>
        <v>19</v>
      </c>
      <c r="I24" s="528">
        <v>0.2</v>
      </c>
      <c r="K24" s="296">
        <v>101</v>
      </c>
      <c r="L24" s="296">
        <v>120</v>
      </c>
      <c r="M24" s="569">
        <f t="shared" si="4"/>
        <v>0.18811881188118812</v>
      </c>
      <c r="O24" s="296">
        <v>97</v>
      </c>
      <c r="P24" s="529">
        <f t="shared" si="5"/>
        <v>115</v>
      </c>
      <c r="Q24" s="569">
        <f t="shared" si="6"/>
        <v>0.18556701030927836</v>
      </c>
      <c r="S24" s="931"/>
      <c r="T24" s="945"/>
      <c r="U24" s="946"/>
      <c r="V24" s="947"/>
      <c r="W24" s="948" t="s">
        <v>198</v>
      </c>
      <c r="X24" s="949">
        <f t="shared" si="7"/>
        <v>120</v>
      </c>
      <c r="Y24" s="949">
        <f t="shared" si="8"/>
        <v>115</v>
      </c>
      <c r="Z24" s="949">
        <f t="shared" si="0"/>
        <v>165</v>
      </c>
      <c r="AA24" s="949">
        <f t="shared" si="1"/>
        <v>160</v>
      </c>
      <c r="AB24" s="534">
        <f t="shared" si="2"/>
        <v>305</v>
      </c>
      <c r="AD24" s="931"/>
      <c r="AE24" s="1293">
        <v>2</v>
      </c>
      <c r="AF24" s="234" t="s">
        <v>198</v>
      </c>
      <c r="AG24" s="932" t="str">
        <f>_xlfn.XLOOKUP($F24,$AE$45:$AE$49,AG$45:AG$49)</f>
        <v>ASSY-TP-XX-2-GO</v>
      </c>
      <c r="AH24" s="933" t="str">
        <f>_xlfn.XLOOKUP($F24,$AE$45:$AE$49,AH$45:AH$49)</f>
        <v>ASSY-TP-XX-2-NG</v>
      </c>
      <c r="AI24" s="934" t="str">
        <f>_xlfn.XLOOKUP($F24,$AE$45:$AE$49,AI$45:AI$49)</f>
        <v>ASSY-TP-XX-2</v>
      </c>
    </row>
    <row r="25" spans="1:35" x14ac:dyDescent="0.25">
      <c r="B25" t="s">
        <v>6</v>
      </c>
      <c r="C25" s="93">
        <v>0.36509999999999998</v>
      </c>
      <c r="D25" s="93">
        <v>0.51</v>
      </c>
      <c r="E25" s="90"/>
      <c r="F25" s="11">
        <f t="shared" ref="F25:G27" si="9">F24</f>
        <v>2</v>
      </c>
      <c r="G25" s="252">
        <f t="shared" si="9"/>
        <v>19</v>
      </c>
      <c r="I25" s="528">
        <v>0.2</v>
      </c>
      <c r="K25" s="296">
        <v>77</v>
      </c>
      <c r="L25" s="296">
        <v>85</v>
      </c>
      <c r="M25" s="569">
        <f t="shared" si="4"/>
        <v>0.1038961038961039</v>
      </c>
      <c r="O25" s="296">
        <v>76</v>
      </c>
      <c r="P25" s="529">
        <f t="shared" si="5"/>
        <v>85</v>
      </c>
      <c r="Q25" s="569">
        <f t="shared" si="6"/>
        <v>0.11842105263157894</v>
      </c>
      <c r="S25" s="114" t="str">
        <f>_xlfn.CONCAT(TEXT($C25,"#.0000"),""""," to ",TEXT($D25,"#.000#"),"""")</f>
        <v>.3651" to .510"</v>
      </c>
      <c r="T25" s="877"/>
      <c r="U25" s="115" t="s">
        <v>594</v>
      </c>
      <c r="V25" s="115" t="s">
        <v>593</v>
      </c>
      <c r="W25" s="116" t="s">
        <v>197</v>
      </c>
      <c r="X25" s="115">
        <f t="shared" si="7"/>
        <v>85</v>
      </c>
      <c r="Y25" s="115">
        <f t="shared" si="8"/>
        <v>85</v>
      </c>
      <c r="Z25" s="115">
        <f t="shared" si="0"/>
        <v>125</v>
      </c>
      <c r="AA25" s="115">
        <f t="shared" si="1"/>
        <v>125</v>
      </c>
      <c r="AB25" s="117">
        <f t="shared" si="2"/>
        <v>225</v>
      </c>
      <c r="AD25" s="114" t="str">
        <f>_xlfn.CONCAT(TEXT($C25,"#.0000"),""""," - ",TEXT($D25,"#.000#"),"""")</f>
        <v>.3651" - .510"</v>
      </c>
      <c r="AE25" s="1294"/>
      <c r="AF25" s="238" t="s">
        <v>197</v>
      </c>
      <c r="AG25" s="895" t="str">
        <f>_xlfn.XLOOKUP($F25,$AE$51:$AE$55,AG$51:AG$55)</f>
        <v>ASSY-TP-X-2-GO</v>
      </c>
      <c r="AH25" s="896" t="str">
        <f>_xlfn.XLOOKUP($F25,$AE$51:$AE$55,AH$51:AH$55)</f>
        <v>ASSY-TP-X-2-NG</v>
      </c>
      <c r="AI25" s="885" t="str">
        <f>_xlfn.XLOOKUP($F25,$AE$51:$AE$55,AI$51:AI$55)</f>
        <v>ASSY-TP-X-2</v>
      </c>
    </row>
    <row r="26" spans="1:35" x14ac:dyDescent="0.25">
      <c r="B26" t="s">
        <v>576</v>
      </c>
      <c r="C26" s="94">
        <v>9.2710000000000008</v>
      </c>
      <c r="D26" s="94">
        <v>12.95</v>
      </c>
      <c r="E26" s="90"/>
      <c r="F26" s="11">
        <f t="shared" si="9"/>
        <v>2</v>
      </c>
      <c r="G26" s="252">
        <f t="shared" si="9"/>
        <v>19</v>
      </c>
      <c r="I26" s="528">
        <v>0.2</v>
      </c>
      <c r="K26" s="296">
        <v>70</v>
      </c>
      <c r="L26" s="296">
        <v>75</v>
      </c>
      <c r="M26" s="569">
        <f t="shared" si="4"/>
        <v>7.1428571428571425E-2</v>
      </c>
      <c r="O26" s="296">
        <v>69</v>
      </c>
      <c r="P26" s="529">
        <f t="shared" si="5"/>
        <v>75</v>
      </c>
      <c r="Q26" s="569">
        <f t="shared" si="6"/>
        <v>8.6956521739130432E-2</v>
      </c>
      <c r="S26" s="114" t="str">
        <f>_xlfn.CONCAT(TEXT($C26,"0.00#"),"mm"," to ",TEXT($D26,"0.00#"),"mm")</f>
        <v>9.271mm to 12.95mm</v>
      </c>
      <c r="T26" s="877"/>
      <c r="U26" s="118" t="s">
        <v>592</v>
      </c>
      <c r="V26" s="118" t="s">
        <v>591</v>
      </c>
      <c r="W26" s="116" t="s">
        <v>209</v>
      </c>
      <c r="X26" s="115">
        <f t="shared" si="7"/>
        <v>75</v>
      </c>
      <c r="Y26" s="115">
        <f t="shared" si="8"/>
        <v>75</v>
      </c>
      <c r="Z26" s="115">
        <f t="shared" si="0"/>
        <v>115</v>
      </c>
      <c r="AA26" s="115">
        <f t="shared" si="1"/>
        <v>115</v>
      </c>
      <c r="AB26" s="117">
        <f t="shared" si="2"/>
        <v>205</v>
      </c>
      <c r="AD26" s="114" t="str">
        <f>_xlfn.CONCAT(TEXT($C26,"0.00#")," - ",TEXT($D26,"0.00#"),"mm")</f>
        <v>9.271 - 12.95mm</v>
      </c>
      <c r="AE26" s="1294"/>
      <c r="AF26" s="238" t="s">
        <v>209</v>
      </c>
      <c r="AG26" s="895" t="str">
        <f>_xlfn.XLOOKUP($F26,$AE$57:$AE$61,AG$57:AG$61)</f>
        <v>ASSY-TP-Y-2-GO</v>
      </c>
      <c r="AH26" s="896" t="str">
        <f>_xlfn.XLOOKUP($F26,$AE$57:$AE$61,AH$57:AH$61)</f>
        <v>ASSY-TP-Y-2-NG</v>
      </c>
      <c r="AI26" s="885" t="str">
        <f>_xlfn.XLOOKUP($F26,$AE$57:$AE$61,AI$57:AI$61)</f>
        <v>ASSY-TP-Y-2</v>
      </c>
    </row>
    <row r="27" spans="1:35" x14ac:dyDescent="0.25">
      <c r="C27" s="93"/>
      <c r="D27" s="93"/>
      <c r="E27" s="90"/>
      <c r="F27" s="566">
        <f t="shared" si="9"/>
        <v>2</v>
      </c>
      <c r="G27" s="267">
        <f t="shared" si="9"/>
        <v>19</v>
      </c>
      <c r="I27" s="535">
        <v>0.2</v>
      </c>
      <c r="K27" s="530">
        <v>66</v>
      </c>
      <c r="L27" s="530">
        <v>70</v>
      </c>
      <c r="M27" s="570">
        <f t="shared" si="4"/>
        <v>6.0606060606060608E-2</v>
      </c>
      <c r="O27" s="530">
        <v>65</v>
      </c>
      <c r="P27" s="555">
        <f t="shared" si="5"/>
        <v>70</v>
      </c>
      <c r="Q27" s="570">
        <f t="shared" si="6"/>
        <v>7.6923076923076927E-2</v>
      </c>
      <c r="S27" s="935"/>
      <c r="T27" s="939"/>
      <c r="U27" s="940"/>
      <c r="V27" s="941"/>
      <c r="W27" s="942" t="s">
        <v>196</v>
      </c>
      <c r="X27" s="943">
        <f t="shared" si="7"/>
        <v>70</v>
      </c>
      <c r="Y27" s="943">
        <f t="shared" si="8"/>
        <v>70</v>
      </c>
      <c r="Z27" s="943">
        <f t="shared" si="0"/>
        <v>105</v>
      </c>
      <c r="AA27" s="943">
        <f t="shared" si="1"/>
        <v>105</v>
      </c>
      <c r="AB27" s="944">
        <f t="shared" si="2"/>
        <v>190</v>
      </c>
      <c r="AD27" s="935"/>
      <c r="AE27" s="1295"/>
      <c r="AF27" s="243" t="s">
        <v>196</v>
      </c>
      <c r="AG27" s="936" t="str">
        <f>_xlfn.XLOOKUP($F27,$AE$63:$AE$67,AG$63:AG$67)</f>
        <v>ASSY-TP-Z-2-GO</v>
      </c>
      <c r="AH27" s="937" t="str">
        <f>_xlfn.XLOOKUP($F27,$AE$63:$AE$67,AH$63:AH$67)</f>
        <v>ASSY-TP-Z-2-NG</v>
      </c>
      <c r="AI27" s="938" t="str">
        <f>_xlfn.XLOOKUP($F27,$AE$63:$AE$67,AI$63:AI$67)</f>
        <v>ASSY-TP-Z-2</v>
      </c>
    </row>
    <row r="28" spans="1:35" x14ac:dyDescent="0.25">
      <c r="C28" s="250"/>
      <c r="D28" s="250"/>
      <c r="F28" s="11">
        <v>3</v>
      </c>
      <c r="G28" s="262">
        <f>_xlfn.XLOOKUP(F28,$F$11:$F$15,$G$11:$G$15)</f>
        <v>20</v>
      </c>
      <c r="I28" s="528">
        <v>0.2</v>
      </c>
      <c r="K28" s="296">
        <v>105</v>
      </c>
      <c r="L28" s="296">
        <v>125</v>
      </c>
      <c r="M28" s="569">
        <f t="shared" si="4"/>
        <v>0.19047619047619047</v>
      </c>
      <c r="O28" s="296">
        <v>104</v>
      </c>
      <c r="P28" s="529">
        <f>MROUND((1+$M28)*O28,5)</f>
        <v>125</v>
      </c>
      <c r="Q28" s="569">
        <f t="shared" si="6"/>
        <v>0.20192307692307693</v>
      </c>
      <c r="S28" s="102"/>
      <c r="U28" s="109"/>
      <c r="V28" s="110"/>
      <c r="W28" s="104" t="s">
        <v>198</v>
      </c>
      <c r="X28" s="105">
        <f t="shared" si="7"/>
        <v>125</v>
      </c>
      <c r="Y28" s="105">
        <f t="shared" si="8"/>
        <v>125</v>
      </c>
      <c r="Z28" s="105">
        <f t="shared" si="0"/>
        <v>175</v>
      </c>
      <c r="AA28" s="105">
        <f t="shared" si="1"/>
        <v>175</v>
      </c>
      <c r="AB28" s="106">
        <f t="shared" si="2"/>
        <v>325</v>
      </c>
      <c r="AD28" s="102"/>
      <c r="AE28" s="1306">
        <v>3</v>
      </c>
      <c r="AF28" s="229" t="s">
        <v>198</v>
      </c>
      <c r="AG28" s="249" t="str">
        <f>_xlfn.XLOOKUP($F28,$AE$45:$AE$49,AG$45:AG$49)</f>
        <v>ASSY-TP-XX-3-GO</v>
      </c>
      <c r="AH28" s="229" t="str">
        <f>_xlfn.XLOOKUP($F28,$AE$45:$AE$49,AH$45:AH$49)</f>
        <v>ASSY-TP-XX-3-NG</v>
      </c>
      <c r="AI28" s="882" t="str">
        <f>_xlfn.XLOOKUP($F28,$AE$45:$AE$49,AI$45:AI$49)</f>
        <v>ASSY-TP-XX-3</v>
      </c>
    </row>
    <row r="29" spans="1:35" x14ac:dyDescent="0.25">
      <c r="B29" t="s">
        <v>6</v>
      </c>
      <c r="C29" s="93">
        <v>0.5101</v>
      </c>
      <c r="D29" s="93">
        <v>0.82499999999999996</v>
      </c>
      <c r="E29" s="90"/>
      <c r="F29" s="11">
        <f t="shared" ref="F29:G31" si="10">F28</f>
        <v>3</v>
      </c>
      <c r="G29" s="252">
        <f t="shared" si="10"/>
        <v>20</v>
      </c>
      <c r="I29" s="528">
        <v>0.2</v>
      </c>
      <c r="K29" s="296">
        <v>86</v>
      </c>
      <c r="L29" s="296">
        <v>95</v>
      </c>
      <c r="M29" s="569">
        <f>((L29-K29)/K29)</f>
        <v>0.10465116279069768</v>
      </c>
      <c r="O29" s="296">
        <v>83</v>
      </c>
      <c r="P29" s="529">
        <f t="shared" si="5"/>
        <v>90</v>
      </c>
      <c r="Q29" s="569">
        <f>((P29-O29)/O29)</f>
        <v>8.4337349397590355E-2</v>
      </c>
      <c r="S29" s="107" t="str">
        <f>_xlfn.CONCAT(TEXT($C29,"#.0000"),""""," to ",TEXT($D29,"#.000#"),"""")</f>
        <v>.5101" to .825"</v>
      </c>
      <c r="T29" s="108"/>
      <c r="U29" s="105" t="s">
        <v>590</v>
      </c>
      <c r="V29" s="105" t="s">
        <v>589</v>
      </c>
      <c r="W29" s="104" t="s">
        <v>197</v>
      </c>
      <c r="X29" s="105">
        <f t="shared" si="7"/>
        <v>95</v>
      </c>
      <c r="Y29" s="105">
        <f t="shared" si="8"/>
        <v>90</v>
      </c>
      <c r="Z29" s="105">
        <f t="shared" si="0"/>
        <v>140</v>
      </c>
      <c r="AA29" s="105">
        <f t="shared" si="1"/>
        <v>130</v>
      </c>
      <c r="AB29" s="106">
        <f t="shared" si="2"/>
        <v>245</v>
      </c>
      <c r="AD29" s="107" t="str">
        <f>_xlfn.CONCAT(TEXT($C29,"#.0000"),""""," - ",TEXT($D29,"#.000#"),"""")</f>
        <v>.5101" - .825"</v>
      </c>
      <c r="AE29" s="1306"/>
      <c r="AF29" s="229" t="s">
        <v>197</v>
      </c>
      <c r="AG29" s="249" t="str">
        <f>_xlfn.XLOOKUP($F29,$AE$51:$AE$55,AG$51:AG$55)</f>
        <v>ASSY-TP-X-3-GO</v>
      </c>
      <c r="AH29" s="229" t="str">
        <f>_xlfn.XLOOKUP($F29,$AE$51:$AE$55,AH$51:AH$55)</f>
        <v>ASSY-TP-X-3-NG</v>
      </c>
      <c r="AI29" s="882" t="str">
        <f>_xlfn.XLOOKUP($F29,$AE$51:$AE$55,AI$51:AI$55)</f>
        <v>ASSY-TP-X-3</v>
      </c>
    </row>
    <row r="30" spans="1:35" x14ac:dyDescent="0.25">
      <c r="B30" t="s">
        <v>576</v>
      </c>
      <c r="C30" s="94">
        <v>12.951000000000001</v>
      </c>
      <c r="D30" s="94">
        <v>20.96</v>
      </c>
      <c r="E30" s="90"/>
      <c r="F30" s="11">
        <f t="shared" si="10"/>
        <v>3</v>
      </c>
      <c r="G30" s="252">
        <f t="shared" si="10"/>
        <v>20</v>
      </c>
      <c r="I30" s="528">
        <v>0.2</v>
      </c>
      <c r="K30" s="296">
        <v>76</v>
      </c>
      <c r="L30" s="296">
        <v>80</v>
      </c>
      <c r="M30" s="569">
        <f t="shared" si="4"/>
        <v>5.2631578947368418E-2</v>
      </c>
      <c r="O30" s="296">
        <v>75</v>
      </c>
      <c r="P30" s="529">
        <f t="shared" si="5"/>
        <v>80</v>
      </c>
      <c r="Q30" s="569">
        <f t="shared" si="6"/>
        <v>6.6666666666666666E-2</v>
      </c>
      <c r="S30" s="107" t="str">
        <f>_xlfn.CONCAT(TEXT($C30,"0.00#"),"mm"," to ",TEXT($D30,"0.00#"),"mm")</f>
        <v>12.951mm to 20.96mm</v>
      </c>
      <c r="T30" s="108"/>
      <c r="U30" s="109" t="s">
        <v>588</v>
      </c>
      <c r="V30" s="109" t="s">
        <v>587</v>
      </c>
      <c r="W30" s="104" t="s">
        <v>209</v>
      </c>
      <c r="X30" s="105">
        <f t="shared" si="7"/>
        <v>80</v>
      </c>
      <c r="Y30" s="105">
        <f t="shared" si="8"/>
        <v>80</v>
      </c>
      <c r="Z30" s="105">
        <f t="shared" si="0"/>
        <v>120</v>
      </c>
      <c r="AA30" s="105">
        <f t="shared" si="1"/>
        <v>120</v>
      </c>
      <c r="AB30" s="106">
        <f t="shared" si="2"/>
        <v>215</v>
      </c>
      <c r="AD30" s="107" t="str">
        <f>_xlfn.CONCAT(TEXT($C30,"0.00#")," - ",TEXT($D30,"0.00#"),"mm")</f>
        <v>12.951 - 20.96mm</v>
      </c>
      <c r="AE30" s="1306"/>
      <c r="AF30" s="229" t="s">
        <v>209</v>
      </c>
      <c r="AG30" s="249" t="str">
        <f>_xlfn.XLOOKUP($F30,$AE$57:$AE$61,AG$57:AG$61)</f>
        <v>ASSY-TP-Y-3-GO</v>
      </c>
      <c r="AH30" s="229" t="str">
        <f>_xlfn.XLOOKUP($F30,$AE$57:$AE$61,AH$57:AH$61)</f>
        <v>ASSY-TP-Y-3-NG</v>
      </c>
      <c r="AI30" s="882" t="str">
        <f>_xlfn.XLOOKUP($F30,$AE$57:$AE$61,AI$57:AI$61)</f>
        <v>ASSY-TP-Y-3</v>
      </c>
    </row>
    <row r="31" spans="1:35" x14ac:dyDescent="0.25">
      <c r="C31" s="93"/>
      <c r="D31" s="93"/>
      <c r="E31" s="90"/>
      <c r="F31" s="566">
        <f t="shared" si="10"/>
        <v>3</v>
      </c>
      <c r="G31" s="267">
        <f t="shared" si="10"/>
        <v>20</v>
      </c>
      <c r="I31" s="535">
        <v>0.2</v>
      </c>
      <c r="K31" s="530">
        <v>73</v>
      </c>
      <c r="L31" s="530">
        <v>75</v>
      </c>
      <c r="M31" s="570">
        <f t="shared" si="4"/>
        <v>2.7397260273972601E-2</v>
      </c>
      <c r="O31" s="530">
        <v>70</v>
      </c>
      <c r="P31" s="555">
        <f t="shared" si="5"/>
        <v>70</v>
      </c>
      <c r="Q31" s="570">
        <f t="shared" si="6"/>
        <v>0</v>
      </c>
      <c r="S31" s="102"/>
      <c r="U31" s="109"/>
      <c r="V31" s="110"/>
      <c r="W31" s="104" t="s">
        <v>196</v>
      </c>
      <c r="X31" s="105">
        <f t="shared" si="7"/>
        <v>75</v>
      </c>
      <c r="Y31" s="105">
        <f t="shared" si="8"/>
        <v>70</v>
      </c>
      <c r="Z31" s="105">
        <f t="shared" si="0"/>
        <v>115</v>
      </c>
      <c r="AA31" s="105">
        <f t="shared" si="1"/>
        <v>110</v>
      </c>
      <c r="AB31" s="106">
        <f t="shared" si="2"/>
        <v>200</v>
      </c>
      <c r="AD31" s="102"/>
      <c r="AE31" s="1306"/>
      <c r="AF31" s="229" t="s">
        <v>196</v>
      </c>
      <c r="AG31" s="249" t="str">
        <f>_xlfn.XLOOKUP($F31,$AE$63:$AE$67,AG$63:AG$67)</f>
        <v>ASSY-TP-Z-3-GO</v>
      </c>
      <c r="AH31" s="229" t="str">
        <f>_xlfn.XLOOKUP($F31,$AE$63:$AE$67,AH$63:AH$67)</f>
        <v>ASSY-TP-Z-3-NG</v>
      </c>
      <c r="AI31" s="882" t="str">
        <f>_xlfn.XLOOKUP($F31,$AE$63:$AE$67,AI$63:AI$67)</f>
        <v>ASSY-TP-Z-3</v>
      </c>
    </row>
    <row r="32" spans="1:35" x14ac:dyDescent="0.25">
      <c r="C32" s="250"/>
      <c r="D32" s="250"/>
      <c r="F32" s="11">
        <v>4</v>
      </c>
      <c r="G32" s="262">
        <f>_xlfn.XLOOKUP(F32,$F$11:$F$15,$G$11:$G$15)</f>
        <v>21</v>
      </c>
      <c r="I32" s="528">
        <v>0.2</v>
      </c>
      <c r="K32" s="296">
        <v>118</v>
      </c>
      <c r="L32" s="296">
        <v>140</v>
      </c>
      <c r="M32" s="569">
        <f t="shared" si="4"/>
        <v>0.1864406779661017</v>
      </c>
      <c r="O32" s="296">
        <v>110</v>
      </c>
      <c r="P32" s="529">
        <f t="shared" si="5"/>
        <v>130</v>
      </c>
      <c r="Q32" s="569">
        <f t="shared" si="6"/>
        <v>0.18181818181818182</v>
      </c>
      <c r="S32" s="931"/>
      <c r="T32" s="945"/>
      <c r="U32" s="946"/>
      <c r="V32" s="947"/>
      <c r="W32" s="948" t="s">
        <v>198</v>
      </c>
      <c r="X32" s="949">
        <f t="shared" si="7"/>
        <v>140</v>
      </c>
      <c r="Y32" s="949">
        <f t="shared" si="8"/>
        <v>130</v>
      </c>
      <c r="Z32" s="949">
        <f t="shared" si="0"/>
        <v>195</v>
      </c>
      <c r="AA32" s="949">
        <f t="shared" si="1"/>
        <v>180</v>
      </c>
      <c r="AB32" s="534">
        <f t="shared" si="2"/>
        <v>350</v>
      </c>
      <c r="AD32" s="931"/>
      <c r="AE32" s="1293">
        <v>4</v>
      </c>
      <c r="AF32" s="234" t="s">
        <v>198</v>
      </c>
      <c r="AG32" s="932" t="str">
        <f>_xlfn.XLOOKUP($F32,$AE$45:$AE$49,AG$45:AG$49)</f>
        <v>ASSY-TP-XX-4-GO</v>
      </c>
      <c r="AH32" s="933" t="str">
        <f>_xlfn.XLOOKUP($F32,$AE$45:$AE$49,AH$45:AH$49)</f>
        <v>ASSY-TP-XX-4-NG</v>
      </c>
      <c r="AI32" s="934" t="str">
        <f>_xlfn.XLOOKUP($F32,$AE$45:$AE$49,AI$45:AI$49)</f>
        <v>ASSY-TP-XX-4</v>
      </c>
    </row>
    <row r="33" spans="2:35" x14ac:dyDescent="0.25">
      <c r="B33" t="s">
        <v>6</v>
      </c>
      <c r="C33" s="93">
        <v>0.82509999999999994</v>
      </c>
      <c r="D33" s="93">
        <v>1.135</v>
      </c>
      <c r="E33" s="90"/>
      <c r="F33" s="11">
        <f t="shared" ref="F33:G35" si="11">F32</f>
        <v>4</v>
      </c>
      <c r="G33" s="252">
        <f t="shared" si="11"/>
        <v>21</v>
      </c>
      <c r="I33" s="528">
        <v>0.2</v>
      </c>
      <c r="K33" s="296">
        <v>90</v>
      </c>
      <c r="L33" s="296">
        <v>110</v>
      </c>
      <c r="M33" s="569">
        <f t="shared" si="4"/>
        <v>0.22222222222222221</v>
      </c>
      <c r="O33" s="296">
        <v>84</v>
      </c>
      <c r="P33" s="529">
        <f t="shared" si="5"/>
        <v>105</v>
      </c>
      <c r="Q33" s="569">
        <f t="shared" si="6"/>
        <v>0.25</v>
      </c>
      <c r="S33" s="114" t="str">
        <f>_xlfn.CONCAT(TEXT($C33,"#.0000"),""""," to ",TEXT($D33,"#.000#"),"""")</f>
        <v>.8251" to 1.135"</v>
      </c>
      <c r="T33" s="877"/>
      <c r="U33" s="115" t="s">
        <v>586</v>
      </c>
      <c r="V33" s="115" t="s">
        <v>585</v>
      </c>
      <c r="W33" s="116" t="s">
        <v>197</v>
      </c>
      <c r="X33" s="115">
        <f t="shared" si="7"/>
        <v>110</v>
      </c>
      <c r="Y33" s="115">
        <f t="shared" si="8"/>
        <v>105</v>
      </c>
      <c r="Z33" s="115">
        <f t="shared" si="0"/>
        <v>155</v>
      </c>
      <c r="AA33" s="115">
        <f t="shared" si="1"/>
        <v>150</v>
      </c>
      <c r="AB33" s="117">
        <f t="shared" si="2"/>
        <v>285</v>
      </c>
      <c r="AD33" s="114" t="str">
        <f>_xlfn.CONCAT(TEXT($C33,"#.0000"),""""," - ",TEXT($D33,"#.000#"),"""")</f>
        <v>.8251" - 1.135"</v>
      </c>
      <c r="AE33" s="1294"/>
      <c r="AF33" s="238" t="s">
        <v>197</v>
      </c>
      <c r="AG33" s="895" t="str">
        <f>_xlfn.XLOOKUP($F33,$AE$51:$AE$55,AG$51:AG$55)</f>
        <v>ASSY-TP-X-4-GO</v>
      </c>
      <c r="AH33" s="896" t="str">
        <f>_xlfn.XLOOKUP($F33,$AE$51:$AE$55,AH$51:AH$55)</f>
        <v>ASSY-TP-X-4-NG</v>
      </c>
      <c r="AI33" s="885" t="str">
        <f>_xlfn.XLOOKUP($F33,$AE$51:$AE$55,AI$51:AI$55)</f>
        <v>ASSY-TP-X-4</v>
      </c>
    </row>
    <row r="34" spans="2:35" x14ac:dyDescent="0.25">
      <c r="B34" t="s">
        <v>576</v>
      </c>
      <c r="C34" s="94">
        <v>20.960999999999999</v>
      </c>
      <c r="D34" s="94">
        <v>28.83</v>
      </c>
      <c r="E34" s="90"/>
      <c r="F34" s="11">
        <f t="shared" si="11"/>
        <v>4</v>
      </c>
      <c r="G34" s="252">
        <f t="shared" si="11"/>
        <v>21</v>
      </c>
      <c r="I34" s="528">
        <v>0.2</v>
      </c>
      <c r="K34" s="296">
        <v>80</v>
      </c>
      <c r="L34" s="296">
        <v>95</v>
      </c>
      <c r="M34" s="569">
        <f t="shared" si="4"/>
        <v>0.1875</v>
      </c>
      <c r="O34" s="296">
        <v>79</v>
      </c>
      <c r="P34" s="529">
        <f t="shared" si="5"/>
        <v>95</v>
      </c>
      <c r="Q34" s="569">
        <f t="shared" si="6"/>
        <v>0.20253164556962025</v>
      </c>
      <c r="S34" s="114" t="str">
        <f>_xlfn.CONCAT(TEXT($C34,"0.00#"),"mm"," to ",TEXT($D34,"0.00#"),"mm")</f>
        <v>20.961mm to 28.83mm</v>
      </c>
      <c r="T34" s="877"/>
      <c r="U34" s="118" t="s">
        <v>584</v>
      </c>
      <c r="V34" s="118" t="s">
        <v>583</v>
      </c>
      <c r="W34" s="116" t="s">
        <v>209</v>
      </c>
      <c r="X34" s="115">
        <f t="shared" si="7"/>
        <v>95</v>
      </c>
      <c r="Y34" s="115">
        <f t="shared" si="8"/>
        <v>95</v>
      </c>
      <c r="Z34" s="115">
        <f t="shared" si="0"/>
        <v>140</v>
      </c>
      <c r="AA34" s="115">
        <f t="shared" si="1"/>
        <v>140</v>
      </c>
      <c r="AB34" s="117">
        <f t="shared" si="2"/>
        <v>255</v>
      </c>
      <c r="AD34" s="114" t="str">
        <f>_xlfn.CONCAT(TEXT($C34,"0.00#")," - ",TEXT($D34,"0.00#"),"mm")</f>
        <v>20.961 - 28.83mm</v>
      </c>
      <c r="AE34" s="1294"/>
      <c r="AF34" s="238" t="s">
        <v>209</v>
      </c>
      <c r="AG34" s="895" t="str">
        <f>_xlfn.XLOOKUP($F34,$AE$57:$AE$61,AG$57:AG$61)</f>
        <v>ASSY-TP-Y-4-GO</v>
      </c>
      <c r="AH34" s="896" t="str">
        <f>_xlfn.XLOOKUP($F34,$AE$57:$AE$61,AH$57:AH$61)</f>
        <v>ASSY-TP-Y-4-NG</v>
      </c>
      <c r="AI34" s="885" t="str">
        <f>_xlfn.XLOOKUP($F34,$AE$57:$AE$61,AI$57:AI$61)</f>
        <v>ASSY-TP-Y-4</v>
      </c>
    </row>
    <row r="35" spans="2:35" x14ac:dyDescent="0.25">
      <c r="C35" s="93"/>
      <c r="D35" s="93"/>
      <c r="E35" s="90"/>
      <c r="F35" s="566">
        <f t="shared" si="11"/>
        <v>4</v>
      </c>
      <c r="G35" s="267">
        <f t="shared" si="11"/>
        <v>21</v>
      </c>
      <c r="I35" s="535">
        <v>0.2</v>
      </c>
      <c r="K35" s="530">
        <v>75</v>
      </c>
      <c r="L35" s="530">
        <v>90</v>
      </c>
      <c r="M35" s="570">
        <f t="shared" si="4"/>
        <v>0.2</v>
      </c>
      <c r="O35" s="530">
        <v>73</v>
      </c>
      <c r="P35" s="555">
        <f t="shared" si="5"/>
        <v>90</v>
      </c>
      <c r="Q35" s="570">
        <f t="shared" si="6"/>
        <v>0.23287671232876711</v>
      </c>
      <c r="S35" s="935"/>
      <c r="T35" s="939"/>
      <c r="U35" s="940"/>
      <c r="V35" s="941"/>
      <c r="W35" s="942" t="s">
        <v>196</v>
      </c>
      <c r="X35" s="943">
        <f t="shared" si="7"/>
        <v>90</v>
      </c>
      <c r="Y35" s="943">
        <f t="shared" si="8"/>
        <v>90</v>
      </c>
      <c r="Z35" s="943">
        <f t="shared" si="0"/>
        <v>135</v>
      </c>
      <c r="AA35" s="943">
        <f t="shared" si="1"/>
        <v>135</v>
      </c>
      <c r="AB35" s="944">
        <f t="shared" si="2"/>
        <v>240</v>
      </c>
      <c r="AD35" s="935"/>
      <c r="AE35" s="1295"/>
      <c r="AF35" s="243" t="s">
        <v>196</v>
      </c>
      <c r="AG35" s="936" t="str">
        <f>_xlfn.XLOOKUP($F35,$AE$63:$AE$67,AG$63:AG$67)</f>
        <v>ASSY-TP-Z-4-GO</v>
      </c>
      <c r="AH35" s="937" t="str">
        <f>_xlfn.XLOOKUP($F35,$AE$63:$AE$67,AH$63:AH$67)</f>
        <v>ASSY-TP-Z-4-NG</v>
      </c>
      <c r="AI35" s="938" t="str">
        <f>_xlfn.XLOOKUP($F35,$AE$63:$AE$67,AI$63:AI$67)</f>
        <v>ASSY-TP-Z-4</v>
      </c>
    </row>
    <row r="36" spans="2:35" x14ac:dyDescent="0.25">
      <c r="C36" s="250"/>
      <c r="D36" s="250"/>
      <c r="F36" s="11">
        <v>5</v>
      </c>
      <c r="G36" s="262">
        <f>_xlfn.XLOOKUP(F36,$F$11:$F$15,$G$11:$G$15)</f>
        <v>22</v>
      </c>
      <c r="I36" s="528">
        <v>0.2</v>
      </c>
      <c r="K36" s="296">
        <v>124</v>
      </c>
      <c r="L36" s="296">
        <v>160</v>
      </c>
      <c r="M36" s="569">
        <f t="shared" si="4"/>
        <v>0.29032258064516131</v>
      </c>
      <c r="O36" s="296">
        <v>121</v>
      </c>
      <c r="P36" s="529">
        <f t="shared" si="5"/>
        <v>155</v>
      </c>
      <c r="Q36" s="569">
        <f t="shared" si="6"/>
        <v>0.28099173553719009</v>
      </c>
      <c r="S36" s="102"/>
      <c r="U36" s="109"/>
      <c r="V36" s="110"/>
      <c r="W36" s="104" t="s">
        <v>198</v>
      </c>
      <c r="X36" s="105">
        <f t="shared" si="7"/>
        <v>160</v>
      </c>
      <c r="Y36" s="105">
        <f t="shared" si="8"/>
        <v>155</v>
      </c>
      <c r="Z36" s="105">
        <f t="shared" si="0"/>
        <v>220</v>
      </c>
      <c r="AA36" s="105">
        <f t="shared" si="1"/>
        <v>210</v>
      </c>
      <c r="AB36" s="106">
        <f t="shared" si="2"/>
        <v>405</v>
      </c>
      <c r="AD36" s="102"/>
      <c r="AE36" s="1296">
        <v>5</v>
      </c>
      <c r="AF36" s="229" t="s">
        <v>198</v>
      </c>
      <c r="AG36" s="249" t="str">
        <f>_xlfn.XLOOKUP($F36,$AE$45:$AE$49,AG$45:AG$49)</f>
        <v>ASSY-TP-XX-5-GO</v>
      </c>
      <c r="AH36" s="229" t="str">
        <f>_xlfn.XLOOKUP($F36,$AE$45:$AE$49,AH$45:AH$49)</f>
        <v>ASSY-TP-XX-5-NG</v>
      </c>
      <c r="AI36" s="882" t="str">
        <f>_xlfn.XLOOKUP($F36,$AE$45:$AE$49,AI$45:AI$49)</f>
        <v>ASSY-TP-XX-5</v>
      </c>
    </row>
    <row r="37" spans="2:35" x14ac:dyDescent="0.25">
      <c r="B37" t="s">
        <v>6</v>
      </c>
      <c r="C37" s="93">
        <v>1.1351</v>
      </c>
      <c r="D37" s="93">
        <v>1.51</v>
      </c>
      <c r="E37" s="90"/>
      <c r="F37" s="11">
        <f t="shared" ref="F37:G39" si="12">F36</f>
        <v>5</v>
      </c>
      <c r="G37" s="252">
        <f t="shared" si="12"/>
        <v>22</v>
      </c>
      <c r="I37" s="528">
        <v>0.2</v>
      </c>
      <c r="K37" s="296">
        <v>97</v>
      </c>
      <c r="L37" s="296">
        <v>115</v>
      </c>
      <c r="M37" s="569">
        <f t="shared" si="4"/>
        <v>0.18556701030927836</v>
      </c>
      <c r="O37" s="296">
        <v>93</v>
      </c>
      <c r="P37" s="529">
        <f t="shared" si="5"/>
        <v>110</v>
      </c>
      <c r="Q37" s="569">
        <f t="shared" si="6"/>
        <v>0.18279569892473119</v>
      </c>
      <c r="S37" s="107" t="str">
        <f>_xlfn.CONCAT(TEXT($C37,"#.0000"),""""," to ",TEXT($D37,"#.000#"),"""")</f>
        <v>1.1351" to 1.510"</v>
      </c>
      <c r="T37" s="108"/>
      <c r="U37" s="105" t="s">
        <v>582</v>
      </c>
      <c r="V37" s="109" t="s">
        <v>581</v>
      </c>
      <c r="W37" s="104" t="s">
        <v>197</v>
      </c>
      <c r="X37" s="105">
        <f t="shared" si="7"/>
        <v>115</v>
      </c>
      <c r="Y37" s="105">
        <f t="shared" si="8"/>
        <v>110</v>
      </c>
      <c r="Z37" s="105">
        <f t="shared" si="0"/>
        <v>165</v>
      </c>
      <c r="AA37" s="105">
        <f t="shared" si="1"/>
        <v>160</v>
      </c>
      <c r="AB37" s="106">
        <f t="shared" si="2"/>
        <v>295</v>
      </c>
      <c r="AD37" s="107" t="str">
        <f>_xlfn.CONCAT(TEXT($C37,"#.0000"),""""," - ",TEXT($D37,"#.000#"),"""")</f>
        <v>1.1351" - 1.510"</v>
      </c>
      <c r="AE37" s="1291"/>
      <c r="AF37" s="229" t="s">
        <v>197</v>
      </c>
      <c r="AG37" s="249" t="str">
        <f>_xlfn.XLOOKUP($F37,$AE$51:$AE$55,AG$51:AG$55)</f>
        <v>ASSY-TP-X-5-GO</v>
      </c>
      <c r="AH37" s="229" t="str">
        <f>_xlfn.XLOOKUP($F37,$AE$51:$AE$55,AH$51:AH$55)</f>
        <v>ASSY-TP-X-5-NG</v>
      </c>
      <c r="AI37" s="882" t="str">
        <f>_xlfn.XLOOKUP($F37,$AE$51:$AE$55,AI$51:AI$55)</f>
        <v>ASSY-TP-X-5</v>
      </c>
    </row>
    <row r="38" spans="2:35" x14ac:dyDescent="0.25">
      <c r="B38" t="s">
        <v>576</v>
      </c>
      <c r="C38" s="94">
        <v>28.831</v>
      </c>
      <c r="D38" s="94">
        <v>38.35</v>
      </c>
      <c r="E38" s="90"/>
      <c r="F38" s="11">
        <f t="shared" si="12"/>
        <v>5</v>
      </c>
      <c r="G38" s="252">
        <f t="shared" si="12"/>
        <v>22</v>
      </c>
      <c r="I38" s="528">
        <v>0.2</v>
      </c>
      <c r="K38" s="296">
        <v>91</v>
      </c>
      <c r="L38" s="296">
        <v>105</v>
      </c>
      <c r="M38" s="569">
        <f t="shared" si="4"/>
        <v>0.15384615384615385</v>
      </c>
      <c r="O38" s="296">
        <v>86</v>
      </c>
      <c r="P38" s="529">
        <f t="shared" si="5"/>
        <v>100</v>
      </c>
      <c r="Q38" s="569">
        <f t="shared" si="6"/>
        <v>0.16279069767441862</v>
      </c>
      <c r="S38" s="107" t="str">
        <f>_xlfn.CONCAT(TEXT($C38,"0.00#"),"mm"," to ",TEXT($D38,"0.00#"),"mm")</f>
        <v>28.831mm to 38.35mm</v>
      </c>
      <c r="T38" s="108"/>
      <c r="U38" s="109" t="s">
        <v>580</v>
      </c>
      <c r="V38" s="105" t="s">
        <v>579</v>
      </c>
      <c r="W38" s="104" t="s">
        <v>209</v>
      </c>
      <c r="X38" s="105">
        <f t="shared" si="7"/>
        <v>105</v>
      </c>
      <c r="Y38" s="105">
        <f t="shared" si="8"/>
        <v>100</v>
      </c>
      <c r="Z38" s="105">
        <f t="shared" si="0"/>
        <v>150</v>
      </c>
      <c r="AA38" s="105">
        <f t="shared" si="1"/>
        <v>145</v>
      </c>
      <c r="AB38" s="106">
        <f t="shared" si="2"/>
        <v>270</v>
      </c>
      <c r="AD38" s="107" t="str">
        <f>_xlfn.CONCAT(TEXT($C38,"0.00#")," - ",TEXT($D38,"0.00#"),"mm")</f>
        <v>28.831 - 38.35mm</v>
      </c>
      <c r="AE38" s="1291"/>
      <c r="AF38" s="229" t="s">
        <v>209</v>
      </c>
      <c r="AG38" s="249" t="str">
        <f>_xlfn.XLOOKUP($F38,$AE$57:$AE$61,AG$57:AG$61)</f>
        <v>ASSY-TP-Y-5-GO</v>
      </c>
      <c r="AH38" s="229" t="str">
        <f>_xlfn.XLOOKUP($F38,$AE$57:$AE$61,AH$57:AH$61)</f>
        <v>ASSY-TP-Y-5-NG</v>
      </c>
      <c r="AI38" s="882" t="str">
        <f>_xlfn.XLOOKUP($F38,$AE$57:$AE$61,AI$57:AI$61)</f>
        <v>ASSY-TP-Y-5</v>
      </c>
    </row>
    <row r="39" spans="2:35" ht="15.75" thickBot="1" x14ac:dyDescent="0.3">
      <c r="B39" s="90"/>
      <c r="C39" s="90"/>
      <c r="D39" s="90"/>
      <c r="E39" s="90"/>
      <c r="F39" s="566">
        <f t="shared" si="12"/>
        <v>5</v>
      </c>
      <c r="G39" s="267">
        <f t="shared" si="12"/>
        <v>22</v>
      </c>
      <c r="I39" s="535">
        <v>0.2</v>
      </c>
      <c r="K39" s="530">
        <v>80</v>
      </c>
      <c r="L39" s="530">
        <v>90</v>
      </c>
      <c r="M39" s="570">
        <f t="shared" si="4"/>
        <v>0.125</v>
      </c>
      <c r="O39" s="530">
        <v>77</v>
      </c>
      <c r="P39" s="555">
        <f t="shared" si="5"/>
        <v>85</v>
      </c>
      <c r="Q39" s="570">
        <f t="shared" si="6"/>
        <v>0.1038961038961039</v>
      </c>
      <c r="S39" s="120"/>
      <c r="T39" s="121"/>
      <c r="U39" s="122"/>
      <c r="V39" s="122"/>
      <c r="W39" s="123" t="s">
        <v>196</v>
      </c>
      <c r="X39" s="124">
        <f t="shared" si="7"/>
        <v>90</v>
      </c>
      <c r="Y39" s="124">
        <f t="shared" si="8"/>
        <v>85</v>
      </c>
      <c r="Z39" s="124">
        <f t="shared" si="0"/>
        <v>135</v>
      </c>
      <c r="AA39" s="124">
        <f t="shared" si="1"/>
        <v>130</v>
      </c>
      <c r="AB39" s="125">
        <f t="shared" si="2"/>
        <v>235</v>
      </c>
      <c r="AD39" s="135"/>
      <c r="AE39" s="1297"/>
      <c r="AF39" s="247" t="s">
        <v>196</v>
      </c>
      <c r="AG39" s="897" t="str">
        <f>_xlfn.XLOOKUP($F39,$AE$63:$AE$67,AG$63:AG$67)</f>
        <v>ASSY-TP-Z-5-GO</v>
      </c>
      <c r="AH39" s="247" t="str">
        <f>_xlfn.XLOOKUP($F39,$AE$63:$AE$67,AH$63:AH$67)</f>
        <v>ASSY-TP-Z-5-NG</v>
      </c>
      <c r="AI39" s="888" t="str">
        <f>_xlfn.XLOOKUP($F39,$AE$63:$AE$67,AI$63:AI$67)</f>
        <v>ASSY-TP-Z-5</v>
      </c>
    </row>
    <row r="40" spans="2:35" ht="6" customHeight="1" x14ac:dyDescent="0.25"/>
    <row r="41" spans="2:35" x14ac:dyDescent="0.25">
      <c r="S41" t="s">
        <v>646</v>
      </c>
    </row>
    <row r="42" spans="2:35" ht="8.1" customHeight="1" x14ac:dyDescent="0.25">
      <c r="U42" s="17"/>
    </row>
    <row r="43" spans="2:35" x14ac:dyDescent="0.25">
      <c r="S43" s="17" t="s">
        <v>957</v>
      </c>
      <c r="U43" s="17"/>
    </row>
    <row r="44" spans="2:35" collapsed="1" x14ac:dyDescent="0.25">
      <c r="S44" s="91"/>
    </row>
    <row r="45" spans="2:35" hidden="1" outlineLevel="1" x14ac:dyDescent="0.25">
      <c r="V45" s="18">
        <v>1</v>
      </c>
      <c r="W45" s="18" t="s">
        <v>198</v>
      </c>
      <c r="X45" s="11"/>
      <c r="Y45" s="11"/>
      <c r="Z45" s="11" cm="1">
        <f t="array" ref="Z45">SUMPRODUCT(Z$20:Z$39,($V45=$F$20:$F$39)*($W45=$W$20:$W$39))</f>
        <v>155</v>
      </c>
      <c r="AA45" s="11" cm="1">
        <f t="array" ref="AA45">SUMPRODUCT(AA$20:AA$39,($V45=$F$20:$F$39)*($W45=$W$20:$W$39))</f>
        <v>150</v>
      </c>
      <c r="AB45" s="11" cm="1">
        <f t="array" ref="AB45">SUMPRODUCT(AB$20:AB$39,($V45=$F$20:$F$39)*($W45=$W$20:$W$39))</f>
        <v>280</v>
      </c>
      <c r="AE45" s="18">
        <v>1</v>
      </c>
      <c r="AF45" s="18" t="s">
        <v>198</v>
      </c>
      <c r="AG45" s="18" t="s">
        <v>1118</v>
      </c>
      <c r="AH45" s="18" t="s">
        <v>1123</v>
      </c>
      <c r="AI45" s="18" t="s">
        <v>1128</v>
      </c>
    </row>
    <row r="46" spans="2:35" hidden="1" outlineLevel="1" x14ac:dyDescent="0.25">
      <c r="V46" s="18">
        <v>2</v>
      </c>
      <c r="W46" s="12" t="str">
        <f>W45</f>
        <v>XX</v>
      </c>
      <c r="X46" s="11"/>
      <c r="Y46" s="11"/>
      <c r="Z46" s="11" cm="1">
        <f t="array" ref="Z46">SUMPRODUCT(Z$20:Z$39,($V46=$F$20:$F$39)*($W46=$W$20:$W$39))</f>
        <v>165</v>
      </c>
      <c r="AA46" s="11" cm="1">
        <f t="array" ref="AA46">SUMPRODUCT(AA$20:AA$39,($V46=$F$20:$F$39)*($W46=$W$20:$W$39))</f>
        <v>160</v>
      </c>
      <c r="AB46" s="11" cm="1">
        <f t="array" ref="AB46">SUMPRODUCT(AB$20:AB$39,($V46=$F$20:$F$39)*($W46=$W$20:$W$39))</f>
        <v>305</v>
      </c>
      <c r="AE46" s="18">
        <v>2</v>
      </c>
      <c r="AF46" s="12" t="str">
        <f>AF45</f>
        <v>XX</v>
      </c>
      <c r="AG46" s="18" t="s">
        <v>1119</v>
      </c>
      <c r="AH46" s="18" t="s">
        <v>1124</v>
      </c>
      <c r="AI46" s="18" t="s">
        <v>1129</v>
      </c>
    </row>
    <row r="47" spans="2:35" hidden="1" outlineLevel="1" x14ac:dyDescent="0.25">
      <c r="V47" s="18">
        <v>3</v>
      </c>
      <c r="W47" s="12" t="str">
        <f t="shared" ref="W47:W49" si="13">W46</f>
        <v>XX</v>
      </c>
      <c r="X47" s="11"/>
      <c r="Y47" s="11"/>
      <c r="Z47" s="11" cm="1">
        <f t="array" ref="Z47">SUMPRODUCT(Z$20:Z$39,($V47=$F$20:$F$39)*($W47=$W$20:$W$39))</f>
        <v>175</v>
      </c>
      <c r="AA47" s="11" cm="1">
        <f t="array" ref="AA47">SUMPRODUCT(AA$20:AA$39,($V47=$F$20:$F$39)*($W47=$W$20:$W$39))</f>
        <v>175</v>
      </c>
      <c r="AB47" s="11" cm="1">
        <f t="array" ref="AB47">SUMPRODUCT(AB$20:AB$39,($V47=$F$20:$F$39)*($W47=$W$20:$W$39))</f>
        <v>325</v>
      </c>
      <c r="AE47" s="18">
        <v>3</v>
      </c>
      <c r="AF47" s="12" t="str">
        <f t="shared" ref="AF47:AF49" si="14">AF46</f>
        <v>XX</v>
      </c>
      <c r="AG47" s="18" t="s">
        <v>1120</v>
      </c>
      <c r="AH47" s="18" t="s">
        <v>1125</v>
      </c>
      <c r="AI47" s="18" t="s">
        <v>1130</v>
      </c>
    </row>
    <row r="48" spans="2:35" hidden="1" outlineLevel="1" x14ac:dyDescent="0.25">
      <c r="V48" s="18">
        <v>4</v>
      </c>
      <c r="W48" s="12" t="str">
        <f t="shared" si="13"/>
        <v>XX</v>
      </c>
      <c r="X48" s="11"/>
      <c r="Y48" s="11"/>
      <c r="Z48" s="11" cm="1">
        <f t="array" ref="Z48">SUMPRODUCT(Z$20:Z$39,($V48=$F$20:$F$39)*($W48=$W$20:$W$39))</f>
        <v>195</v>
      </c>
      <c r="AA48" s="11" cm="1">
        <f t="array" ref="AA48">SUMPRODUCT(AA$20:AA$39,($V48=$F$20:$F$39)*($W48=$W$20:$W$39))</f>
        <v>180</v>
      </c>
      <c r="AB48" s="11" cm="1">
        <f t="array" ref="AB48">SUMPRODUCT(AB$20:AB$39,($V48=$F$20:$F$39)*($W48=$W$20:$W$39))</f>
        <v>350</v>
      </c>
      <c r="AE48" s="18">
        <v>4</v>
      </c>
      <c r="AF48" s="12" t="str">
        <f t="shared" si="14"/>
        <v>XX</v>
      </c>
      <c r="AG48" s="18" t="s">
        <v>1121</v>
      </c>
      <c r="AH48" s="18" t="s">
        <v>1126</v>
      </c>
      <c r="AI48" s="18" t="s">
        <v>1131</v>
      </c>
    </row>
    <row r="49" spans="1:35" hidden="1" outlineLevel="1" x14ac:dyDescent="0.25">
      <c r="V49" s="18">
        <v>5</v>
      </c>
      <c r="W49" s="12" t="str">
        <f t="shared" si="13"/>
        <v>XX</v>
      </c>
      <c r="X49" s="11"/>
      <c r="Y49" s="11"/>
      <c r="Z49" s="11" cm="1">
        <f t="array" ref="Z49">SUMPRODUCT(Z$20:Z$39,($V49=$F$20:$F$39)*($W49=$W$20:$W$39))</f>
        <v>220</v>
      </c>
      <c r="AA49" s="11" cm="1">
        <f t="array" ref="AA49">SUMPRODUCT(AA$20:AA$39,($V49=$F$20:$F$39)*($W49=$W$20:$W$39))</f>
        <v>210</v>
      </c>
      <c r="AB49" s="11" cm="1">
        <f t="array" ref="AB49">SUMPRODUCT(AB$20:AB$39,($V49=$F$20:$F$39)*($W49=$W$20:$W$39))</f>
        <v>405</v>
      </c>
      <c r="AE49" s="18">
        <v>5</v>
      </c>
      <c r="AF49" s="12" t="str">
        <f t="shared" si="14"/>
        <v>XX</v>
      </c>
      <c r="AG49" s="18" t="s">
        <v>1122</v>
      </c>
      <c r="AH49" s="18" t="s">
        <v>1127</v>
      </c>
      <c r="AI49" s="18" t="s">
        <v>1132</v>
      </c>
    </row>
    <row r="50" spans="1:35" hidden="1" outlineLevel="1" x14ac:dyDescent="0.25">
      <c r="AE50" s="11"/>
      <c r="AF50" s="11"/>
      <c r="AG50" s="18"/>
      <c r="AH50" s="18"/>
      <c r="AI50" s="18"/>
    </row>
    <row r="51" spans="1:35" hidden="1" outlineLevel="1" x14ac:dyDescent="0.25">
      <c r="V51" s="18">
        <v>1</v>
      </c>
      <c r="W51" s="18" t="s">
        <v>197</v>
      </c>
      <c r="X51" s="11"/>
      <c r="Y51" s="11"/>
      <c r="Z51" s="11" cm="1">
        <f t="array" ref="Z51">SUMPRODUCT(Z$20:Z$39,($V51=$F$20:$F$39)*($W51=$W$20:$W$39))</f>
        <v>120</v>
      </c>
      <c r="AA51" s="11" cm="1">
        <f t="array" ref="AA51">SUMPRODUCT(AA$20:AA$39,($V51=$F$20:$F$39)*($W51=$W$20:$W$39))</f>
        <v>120</v>
      </c>
      <c r="AB51" s="11" cm="1">
        <f t="array" ref="AB51">SUMPRODUCT(AB$20:AB$39,($V51=$F$20:$F$39)*($W51=$W$20:$W$39))</f>
        <v>215</v>
      </c>
      <c r="AE51" s="18">
        <v>1</v>
      </c>
      <c r="AF51" s="18" t="s">
        <v>197</v>
      </c>
      <c r="AG51" s="18" t="s">
        <v>1135</v>
      </c>
      <c r="AH51" s="18" t="s">
        <v>1140</v>
      </c>
      <c r="AI51" s="18" t="s">
        <v>1145</v>
      </c>
    </row>
    <row r="52" spans="1:35" hidden="1" outlineLevel="1" x14ac:dyDescent="0.25">
      <c r="V52" s="18">
        <v>2</v>
      </c>
      <c r="W52" s="12" t="str">
        <f>W51</f>
        <v>X</v>
      </c>
      <c r="X52" s="11"/>
      <c r="Y52" s="11"/>
      <c r="Z52" s="11" cm="1">
        <f t="array" ref="Z52">SUMPRODUCT(Z$20:Z$39,($V52=$F$20:$F$39)*($W52=$W$20:$W$39))</f>
        <v>125</v>
      </c>
      <c r="AA52" s="11" cm="1">
        <f t="array" ref="AA52">SUMPRODUCT(AA$20:AA$39,($V52=$F$20:$F$39)*($W52=$W$20:$W$39))</f>
        <v>125</v>
      </c>
      <c r="AB52" s="11" cm="1">
        <f t="array" ref="AB52">SUMPRODUCT(AB$20:AB$39,($V52=$F$20:$F$39)*($W52=$W$20:$W$39))</f>
        <v>225</v>
      </c>
      <c r="AE52" s="18">
        <v>2</v>
      </c>
      <c r="AF52" s="12" t="str">
        <f>AF51</f>
        <v>X</v>
      </c>
      <c r="AG52" s="18" t="s">
        <v>1136</v>
      </c>
      <c r="AH52" s="18" t="s">
        <v>1141</v>
      </c>
      <c r="AI52" s="18" t="s">
        <v>1146</v>
      </c>
    </row>
    <row r="53" spans="1:35" hidden="1" outlineLevel="1" x14ac:dyDescent="0.25">
      <c r="V53" s="18">
        <v>3</v>
      </c>
      <c r="W53" s="12" t="str">
        <f t="shared" ref="W53:W55" si="15">W52</f>
        <v>X</v>
      </c>
      <c r="X53" s="11"/>
      <c r="Y53" s="11"/>
      <c r="Z53" s="11" cm="1">
        <f t="array" ref="Z53">SUMPRODUCT(Z$20:Z$39,($V53=$F$20:$F$39)*($W53=$W$20:$W$39))</f>
        <v>140</v>
      </c>
      <c r="AA53" s="11" cm="1">
        <f t="array" ref="AA53">SUMPRODUCT(AA$20:AA$39,($V53=$F$20:$F$39)*($W53=$W$20:$W$39))</f>
        <v>130</v>
      </c>
      <c r="AB53" s="11" cm="1">
        <f t="array" ref="AB53">SUMPRODUCT(AB$20:AB$39,($V53=$F$20:$F$39)*($W53=$W$20:$W$39))</f>
        <v>245</v>
      </c>
      <c r="AE53" s="18">
        <v>3</v>
      </c>
      <c r="AF53" s="12" t="str">
        <f t="shared" ref="AF53:AF55" si="16">AF52</f>
        <v>X</v>
      </c>
      <c r="AG53" s="18" t="s">
        <v>1137</v>
      </c>
      <c r="AH53" s="18" t="s">
        <v>1142</v>
      </c>
      <c r="AI53" s="18" t="s">
        <v>1147</v>
      </c>
    </row>
    <row r="54" spans="1:35" hidden="1" outlineLevel="1" x14ac:dyDescent="0.25">
      <c r="V54" s="18">
        <v>4</v>
      </c>
      <c r="W54" s="12" t="str">
        <f t="shared" si="15"/>
        <v>X</v>
      </c>
      <c r="X54" s="11"/>
      <c r="Y54" s="11"/>
      <c r="Z54" s="11" cm="1">
        <f t="array" ref="Z54">SUMPRODUCT(Z$20:Z$39,($V54=$F$20:$F$39)*($W54=$W$20:$W$39))</f>
        <v>155</v>
      </c>
      <c r="AA54" s="11" cm="1">
        <f t="array" ref="AA54">SUMPRODUCT(AA$20:AA$39,($V54=$F$20:$F$39)*($W54=$W$20:$W$39))</f>
        <v>150</v>
      </c>
      <c r="AB54" s="11" cm="1">
        <f t="array" ref="AB54">SUMPRODUCT(AB$20:AB$39,($V54=$F$20:$F$39)*($W54=$W$20:$W$39))</f>
        <v>285</v>
      </c>
      <c r="AE54" s="18">
        <v>4</v>
      </c>
      <c r="AF54" s="12" t="str">
        <f t="shared" si="16"/>
        <v>X</v>
      </c>
      <c r="AG54" s="18" t="s">
        <v>1138</v>
      </c>
      <c r="AH54" s="18" t="s">
        <v>1143</v>
      </c>
      <c r="AI54" s="18" t="s">
        <v>1148</v>
      </c>
    </row>
    <row r="55" spans="1:35" hidden="1" outlineLevel="1" x14ac:dyDescent="0.25">
      <c r="V55" s="18">
        <v>5</v>
      </c>
      <c r="W55" s="12" t="str">
        <f t="shared" si="15"/>
        <v>X</v>
      </c>
      <c r="X55" s="11"/>
      <c r="Y55" s="11"/>
      <c r="Z55" s="11" cm="1">
        <f t="array" ref="Z55">SUMPRODUCT(Z$20:Z$39,($V55=$F$20:$F$39)*($W55=$W$20:$W$39))</f>
        <v>165</v>
      </c>
      <c r="AA55" s="11" cm="1">
        <f t="array" ref="AA55">SUMPRODUCT(AA$20:AA$39,($V55=$F$20:$F$39)*($W55=$W$20:$W$39))</f>
        <v>160</v>
      </c>
      <c r="AB55" s="11" cm="1">
        <f t="array" ref="AB55">SUMPRODUCT(AB$20:AB$39,($V55=$F$20:$F$39)*($W55=$W$20:$W$39))</f>
        <v>295</v>
      </c>
      <c r="AE55" s="18">
        <v>5</v>
      </c>
      <c r="AF55" s="12" t="str">
        <f t="shared" si="16"/>
        <v>X</v>
      </c>
      <c r="AG55" s="18" t="s">
        <v>1139</v>
      </c>
      <c r="AH55" s="18" t="s">
        <v>1144</v>
      </c>
      <c r="AI55" s="18" t="s">
        <v>1149</v>
      </c>
    </row>
    <row r="56" spans="1:35" hidden="1" outlineLevel="1" x14ac:dyDescent="0.25">
      <c r="A56" s="46"/>
      <c r="AE56" s="11"/>
      <c r="AF56" s="11"/>
      <c r="AH56" s="18"/>
      <c r="AI56" s="18"/>
    </row>
    <row r="57" spans="1:35" hidden="1" outlineLevel="1" x14ac:dyDescent="0.25">
      <c r="V57" s="18">
        <v>1</v>
      </c>
      <c r="W57" s="18" t="s">
        <v>209</v>
      </c>
      <c r="X57" s="11"/>
      <c r="Y57" s="11"/>
      <c r="Z57" s="11" cm="1">
        <f t="array" ref="Z57">SUMPRODUCT(Z$20:Z$39,($V57=$F$20:$F$39)*($W57=$W$20:$W$39))</f>
        <v>110</v>
      </c>
      <c r="AA57" s="11" cm="1">
        <f t="array" ref="AA57">SUMPRODUCT(AA$20:AA$39,($V57=$F$20:$F$39)*($W57=$W$20:$W$39))</f>
        <v>110</v>
      </c>
      <c r="AB57" s="11" cm="1">
        <f t="array" ref="AB57">SUMPRODUCT(AB$20:AB$39,($V57=$F$20:$F$39)*($W57=$W$20:$W$39))</f>
        <v>200</v>
      </c>
      <c r="AE57" s="18">
        <v>1</v>
      </c>
      <c r="AF57" s="18" t="s">
        <v>209</v>
      </c>
      <c r="AG57" s="18" t="s">
        <v>1150</v>
      </c>
      <c r="AH57" s="18" t="s">
        <v>1155</v>
      </c>
      <c r="AI57" s="18" t="s">
        <v>1160</v>
      </c>
    </row>
    <row r="58" spans="1:35" hidden="1" outlineLevel="1" x14ac:dyDescent="0.25">
      <c r="V58" s="18">
        <v>2</v>
      </c>
      <c r="W58" s="12" t="str">
        <f>W57</f>
        <v>Y</v>
      </c>
      <c r="X58" s="11"/>
      <c r="Y58" s="11"/>
      <c r="Z58" s="11" cm="1">
        <f t="array" ref="Z58">SUMPRODUCT(Z$20:Z$39,($V58=$F$20:$F$39)*($W58=$W$20:$W$39))</f>
        <v>115</v>
      </c>
      <c r="AA58" s="11" cm="1">
        <f t="array" ref="AA58">SUMPRODUCT(AA$20:AA$39,($V58=$F$20:$F$39)*($W58=$W$20:$W$39))</f>
        <v>115</v>
      </c>
      <c r="AB58" s="11" cm="1">
        <f t="array" ref="AB58">SUMPRODUCT(AB$20:AB$39,($V58=$F$20:$F$39)*($W58=$W$20:$W$39))</f>
        <v>205</v>
      </c>
      <c r="AE58" s="18">
        <v>2</v>
      </c>
      <c r="AF58" s="12" t="str">
        <f>AF57</f>
        <v>Y</v>
      </c>
      <c r="AG58" s="18" t="s">
        <v>1151</v>
      </c>
      <c r="AH58" s="18" t="s">
        <v>1156</v>
      </c>
      <c r="AI58" s="18" t="s">
        <v>1161</v>
      </c>
    </row>
    <row r="59" spans="1:35" hidden="1" outlineLevel="1" x14ac:dyDescent="0.25">
      <c r="V59" s="18">
        <v>3</v>
      </c>
      <c r="W59" s="12" t="str">
        <f t="shared" ref="W59:W61" si="17">W58</f>
        <v>Y</v>
      </c>
      <c r="X59" s="11"/>
      <c r="Y59" s="11"/>
      <c r="Z59" s="11" cm="1">
        <f t="array" ref="Z59">SUMPRODUCT(Z$20:Z$39,($V59=$F$20:$F$39)*($W59=$W$20:$W$39))</f>
        <v>120</v>
      </c>
      <c r="AA59" s="11" cm="1">
        <f t="array" ref="AA59">SUMPRODUCT(AA$20:AA$39,($V59=$F$20:$F$39)*($W59=$W$20:$W$39))</f>
        <v>120</v>
      </c>
      <c r="AB59" s="11" cm="1">
        <f t="array" ref="AB59">SUMPRODUCT(AB$20:AB$39,($V59=$F$20:$F$39)*($W59=$W$20:$W$39))</f>
        <v>215</v>
      </c>
      <c r="AE59" s="18">
        <v>3</v>
      </c>
      <c r="AF59" s="12" t="str">
        <f t="shared" ref="AF59:AF61" si="18">AF58</f>
        <v>Y</v>
      </c>
      <c r="AG59" s="18" t="s">
        <v>1152</v>
      </c>
      <c r="AH59" s="18" t="s">
        <v>1157</v>
      </c>
      <c r="AI59" s="18" t="s">
        <v>1162</v>
      </c>
    </row>
    <row r="60" spans="1:35" hidden="1" outlineLevel="1" x14ac:dyDescent="0.25">
      <c r="V60" s="18">
        <v>4</v>
      </c>
      <c r="W60" s="12" t="str">
        <f t="shared" si="17"/>
        <v>Y</v>
      </c>
      <c r="X60" s="11"/>
      <c r="Y60" s="11"/>
      <c r="Z60" s="11" cm="1">
        <f t="array" ref="Z60">SUMPRODUCT(Z$20:Z$39,($V60=$F$20:$F$39)*($W60=$W$20:$W$39))</f>
        <v>140</v>
      </c>
      <c r="AA60" s="11" cm="1">
        <f t="array" ref="AA60">SUMPRODUCT(AA$20:AA$39,($V60=$F$20:$F$39)*($W60=$W$20:$W$39))</f>
        <v>140</v>
      </c>
      <c r="AB60" s="11" cm="1">
        <f t="array" ref="AB60">SUMPRODUCT(AB$20:AB$39,($V60=$F$20:$F$39)*($W60=$W$20:$W$39))</f>
        <v>255</v>
      </c>
      <c r="AE60" s="18">
        <v>4</v>
      </c>
      <c r="AF60" s="12" t="str">
        <f t="shared" si="18"/>
        <v>Y</v>
      </c>
      <c r="AG60" s="18" t="s">
        <v>1153</v>
      </c>
      <c r="AH60" s="18" t="s">
        <v>1158</v>
      </c>
      <c r="AI60" s="18" t="s">
        <v>1163</v>
      </c>
    </row>
    <row r="61" spans="1:35" hidden="1" outlineLevel="1" x14ac:dyDescent="0.25">
      <c r="V61" s="18">
        <v>5</v>
      </c>
      <c r="W61" s="12" t="str">
        <f t="shared" si="17"/>
        <v>Y</v>
      </c>
      <c r="X61" s="11"/>
      <c r="Y61" s="11"/>
      <c r="Z61" s="11" cm="1">
        <f t="array" ref="Z61">SUMPRODUCT(Z$20:Z$39,($V61=$F$20:$F$39)*($W61=$W$20:$W$39))</f>
        <v>150</v>
      </c>
      <c r="AA61" s="11" cm="1">
        <f t="array" ref="AA61">SUMPRODUCT(AA$20:AA$39,($V61=$F$20:$F$39)*($W61=$W$20:$W$39))</f>
        <v>145</v>
      </c>
      <c r="AB61" s="11" cm="1">
        <f t="array" ref="AB61">SUMPRODUCT(AB$20:AB$39,($V61=$F$20:$F$39)*($W61=$W$20:$W$39))</f>
        <v>270</v>
      </c>
      <c r="AE61" s="18">
        <v>5</v>
      </c>
      <c r="AF61" s="12" t="str">
        <f t="shared" si="18"/>
        <v>Y</v>
      </c>
      <c r="AG61" s="18" t="s">
        <v>1154</v>
      </c>
      <c r="AH61" s="18" t="s">
        <v>1159</v>
      </c>
      <c r="AI61" s="18" t="s">
        <v>1164</v>
      </c>
    </row>
    <row r="62" spans="1:35" hidden="1" outlineLevel="1" x14ac:dyDescent="0.25">
      <c r="AE62" s="11"/>
      <c r="AF62" s="11"/>
      <c r="AG62" s="18"/>
      <c r="AH62" s="18"/>
      <c r="AI62" s="18"/>
    </row>
    <row r="63" spans="1:35" hidden="1" outlineLevel="1" x14ac:dyDescent="0.25">
      <c r="V63" s="18">
        <v>1</v>
      </c>
      <c r="W63" s="18" t="s">
        <v>196</v>
      </c>
      <c r="X63" s="11"/>
      <c r="Y63" s="11"/>
      <c r="Z63" s="11" cm="1">
        <f t="array" ref="Z63">SUMPRODUCT(Z$20:Z$39,($V63=$F$20:$F$39)*($W63=$W$20:$W$39))</f>
        <v>105</v>
      </c>
      <c r="AA63" s="11" cm="1">
        <f t="array" ref="AA63">SUMPRODUCT(AA$20:AA$39,($V63=$F$20:$F$39)*($W63=$W$20:$W$39))</f>
        <v>105</v>
      </c>
      <c r="AB63" s="11" cm="1">
        <f t="array" ref="AB63">SUMPRODUCT(AB$20:AB$39,($V63=$F$20:$F$39)*($W63=$W$20:$W$39))</f>
        <v>190</v>
      </c>
      <c r="AE63" s="18">
        <v>1</v>
      </c>
      <c r="AF63" s="18" t="s">
        <v>196</v>
      </c>
      <c r="AG63" s="18" t="s">
        <v>1165</v>
      </c>
      <c r="AH63" s="18" t="s">
        <v>1170</v>
      </c>
      <c r="AI63" s="18" t="s">
        <v>1175</v>
      </c>
    </row>
    <row r="64" spans="1:35" hidden="1" outlineLevel="1" x14ac:dyDescent="0.25">
      <c r="V64" s="18">
        <v>2</v>
      </c>
      <c r="W64" s="12" t="str">
        <f>W63</f>
        <v>Z</v>
      </c>
      <c r="X64" s="11"/>
      <c r="Y64" s="11"/>
      <c r="Z64" s="11" cm="1">
        <f t="array" ref="Z64">SUMPRODUCT(Z$20:Z$39,($V64=$F$20:$F$39)*($W64=$W$20:$W$39))</f>
        <v>105</v>
      </c>
      <c r="AA64" s="11" cm="1">
        <f t="array" ref="AA64">SUMPRODUCT(AA$20:AA$39,($V64=$F$20:$F$39)*($W64=$W$20:$W$39))</f>
        <v>105</v>
      </c>
      <c r="AB64" s="11" cm="1">
        <f t="array" ref="AB64">SUMPRODUCT(AB$20:AB$39,($V64=$F$20:$F$39)*($W64=$W$20:$W$39))</f>
        <v>190</v>
      </c>
      <c r="AE64" s="18">
        <v>2</v>
      </c>
      <c r="AF64" s="12" t="str">
        <f>AF63</f>
        <v>Z</v>
      </c>
      <c r="AG64" s="18" t="s">
        <v>1166</v>
      </c>
      <c r="AH64" s="18" t="s">
        <v>1171</v>
      </c>
      <c r="AI64" s="18" t="s">
        <v>1176</v>
      </c>
    </row>
    <row r="65" spans="22:35" hidden="1" outlineLevel="1" x14ac:dyDescent="0.25">
      <c r="V65" s="18">
        <v>3</v>
      </c>
      <c r="W65" s="12" t="str">
        <f t="shared" ref="W65:W67" si="19">W64</f>
        <v>Z</v>
      </c>
      <c r="X65" s="11"/>
      <c r="Y65" s="11"/>
      <c r="Z65" s="11" cm="1">
        <f t="array" ref="Z65">SUMPRODUCT(Z$20:Z$39,($V65=$F$20:$F$39)*($W65=$W$20:$W$39))</f>
        <v>115</v>
      </c>
      <c r="AA65" s="11" cm="1">
        <f t="array" ref="AA65">SUMPRODUCT(AA$20:AA$39,($V65=$F$20:$F$39)*($W65=$W$20:$W$39))</f>
        <v>110</v>
      </c>
      <c r="AB65" s="11" cm="1">
        <f t="array" ref="AB65">SUMPRODUCT(AB$20:AB$39,($V65=$F$20:$F$39)*($W65=$W$20:$W$39))</f>
        <v>200</v>
      </c>
      <c r="AE65" s="18">
        <v>3</v>
      </c>
      <c r="AF65" s="12" t="str">
        <f t="shared" ref="AF65:AF67" si="20">AF64</f>
        <v>Z</v>
      </c>
      <c r="AG65" s="18" t="s">
        <v>1167</v>
      </c>
      <c r="AH65" s="18" t="s">
        <v>1172</v>
      </c>
      <c r="AI65" s="18" t="s">
        <v>1177</v>
      </c>
    </row>
    <row r="66" spans="22:35" hidden="1" outlineLevel="1" x14ac:dyDescent="0.25">
      <c r="V66" s="18">
        <v>4</v>
      </c>
      <c r="W66" s="12" t="str">
        <f t="shared" si="19"/>
        <v>Z</v>
      </c>
      <c r="X66" s="11"/>
      <c r="Y66" s="11"/>
      <c r="Z66" s="11" cm="1">
        <f t="array" ref="Z66">SUMPRODUCT(Z$20:Z$39,($V66=$F$20:$F$39)*($W66=$W$20:$W$39))</f>
        <v>135</v>
      </c>
      <c r="AA66" s="11" cm="1">
        <f t="array" ref="AA66">SUMPRODUCT(AA$20:AA$39,($V66=$F$20:$F$39)*($W66=$W$20:$W$39))</f>
        <v>135</v>
      </c>
      <c r="AB66" s="11" cm="1">
        <f t="array" ref="AB66">SUMPRODUCT(AB$20:AB$39,($V66=$F$20:$F$39)*($W66=$W$20:$W$39))</f>
        <v>240</v>
      </c>
      <c r="AE66" s="18">
        <v>4</v>
      </c>
      <c r="AF66" s="12" t="str">
        <f t="shared" si="20"/>
        <v>Z</v>
      </c>
      <c r="AG66" s="18" t="s">
        <v>1168</v>
      </c>
      <c r="AH66" s="18" t="s">
        <v>1173</v>
      </c>
      <c r="AI66" s="18" t="s">
        <v>1178</v>
      </c>
    </row>
    <row r="67" spans="22:35" hidden="1" outlineLevel="1" x14ac:dyDescent="0.25">
      <c r="V67" s="18">
        <v>5</v>
      </c>
      <c r="W67" s="12" t="str">
        <f t="shared" si="19"/>
        <v>Z</v>
      </c>
      <c r="X67" s="11"/>
      <c r="Y67" s="11"/>
      <c r="Z67" s="11" cm="1">
        <f t="array" ref="Z67">SUMPRODUCT(Z$20:Z$39,($V67=$F$20:$F$39)*($W67=$W$20:$W$39))</f>
        <v>135</v>
      </c>
      <c r="AA67" s="11" cm="1">
        <f t="array" ref="AA67">SUMPRODUCT(AA$20:AA$39,($V67=$F$20:$F$39)*($W67=$W$20:$W$39))</f>
        <v>130</v>
      </c>
      <c r="AB67" s="11" cm="1">
        <f t="array" ref="AB67">SUMPRODUCT(AB$20:AB$39,($V67=$F$20:$F$39)*($W67=$W$20:$W$39))</f>
        <v>235</v>
      </c>
      <c r="AE67" s="18">
        <v>5</v>
      </c>
      <c r="AF67" s="12" t="str">
        <f t="shared" si="20"/>
        <v>Z</v>
      </c>
      <c r="AG67" s="18" t="s">
        <v>1169</v>
      </c>
      <c r="AH67" s="18" t="s">
        <v>1174</v>
      </c>
      <c r="AI67" s="18" t="s">
        <v>1179</v>
      </c>
    </row>
    <row r="68" spans="22:35" hidden="1" outlineLevel="1" x14ac:dyDescent="0.25">
      <c r="AG68" s="18"/>
      <c r="AH68" s="18"/>
      <c r="AI68" s="18"/>
    </row>
    <row r="69" spans="22:35" x14ac:dyDescent="0.25">
      <c r="AI69" s="18"/>
    </row>
    <row r="70" spans="22:35" x14ac:dyDescent="0.25">
      <c r="AI70" s="18"/>
    </row>
    <row r="71" spans="22:35" x14ac:dyDescent="0.25">
      <c r="AI71" s="18"/>
    </row>
    <row r="72" spans="22:35" x14ac:dyDescent="0.25">
      <c r="AI72" s="18"/>
    </row>
  </sheetData>
  <sheetProtection algorithmName="SHA-512" hashValue="zrRE0k2m33RCrsrLXdK2kqe3ndju/ostTVg+PygWZYsSGsOuYmQtaToHlsSwqWkxD3AfnE1+DhvhtZbNsmEPKQ==" saltValue="fj2xaAGzDspqlIYNDnjl2w==" spinCount="100000" sheet="1" objects="1" scenarios="1"/>
  <mergeCells count="13">
    <mergeCell ref="AG18:AG19"/>
    <mergeCell ref="AH18:AH19"/>
    <mergeCell ref="AI18:AI19"/>
    <mergeCell ref="AD18:AD19"/>
    <mergeCell ref="AE28:AE31"/>
    <mergeCell ref="AE32:AE35"/>
    <mergeCell ref="AE36:AE39"/>
    <mergeCell ref="AE24:AE27"/>
    <mergeCell ref="AF18:AF19"/>
    <mergeCell ref="S18:T19"/>
    <mergeCell ref="W18:W19"/>
    <mergeCell ref="AE18:AE19"/>
    <mergeCell ref="AE20:AE23"/>
  </mergeCells>
  <conditionalFormatting sqref="S5:S8">
    <cfRule type="expression" dxfId="16" priority="1">
      <formula>#REF!="y"</formula>
    </cfRule>
  </conditionalFormatting>
  <pageMargins left="0.25" right="0.25" top="0.7" bottom="0.75" header="0.3" footer="0.3"/>
  <pageSetup scale="82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5507A-C08A-4313-B40F-1FF8E821A7C4}">
  <sheetPr codeName="Sheet20">
    <outlinePr summaryBelow="0"/>
    <pageSetUpPr autoPageBreaks="0"/>
  </sheetPr>
  <dimension ref="A1:AL88"/>
  <sheetViews>
    <sheetView showGridLines="0" zoomScale="90" zoomScaleNormal="90" workbookViewId="0">
      <selection activeCell="U92" sqref="U92"/>
    </sheetView>
  </sheetViews>
  <sheetFormatPr defaultRowHeight="15" outlineLevelRow="1" outlineLevelCol="1" x14ac:dyDescent="0.25"/>
  <cols>
    <col min="1" max="1" width="2.7109375" customWidth="1"/>
    <col min="2" max="2" width="9.28515625" hidden="1" customWidth="1" outlineLevel="1"/>
    <col min="3" max="4" width="10.140625" hidden="1" customWidth="1" outlineLevel="1"/>
    <col min="5" max="5" width="1.7109375" hidden="1" customWidth="1" outlineLevel="1"/>
    <col min="6" max="6" width="10.42578125" hidden="1" customWidth="1" outlineLevel="1"/>
    <col min="7" max="7" width="11.7109375" hidden="1" customWidth="1" outlineLevel="1"/>
    <col min="8" max="8" width="10.42578125" style="11" hidden="1" customWidth="1" outlineLevel="1"/>
    <col min="9" max="9" width="10.42578125" hidden="1" customWidth="1" outlineLevel="1"/>
    <col min="10" max="10" width="1.7109375" hidden="1" customWidth="1" outlineLevel="1"/>
    <col min="11" max="11" width="11.7109375" style="11" hidden="1" customWidth="1" outlineLevel="1"/>
    <col min="12" max="12" width="1.7109375" hidden="1" customWidth="1" outlineLevel="1"/>
    <col min="13" max="15" width="12.28515625" hidden="1" customWidth="1" outlineLevel="1"/>
    <col min="16" max="16" width="1.7109375" style="536" hidden="1" customWidth="1" outlineLevel="1"/>
    <col min="17" max="18" width="10.85546875" hidden="1" customWidth="1" outlineLevel="1"/>
    <col min="19" max="19" width="12.28515625" hidden="1" customWidth="1" outlineLevel="1"/>
    <col min="20" max="20" width="2.7109375" style="536" hidden="1" customWidth="1" outlineLevel="1"/>
    <col min="21" max="21" width="12.28515625" customWidth="1" collapsed="1"/>
    <col min="22" max="22" width="12.28515625" customWidth="1"/>
    <col min="23" max="24" width="12.5703125" style="11" customWidth="1"/>
    <col min="25" max="25" width="12.140625" style="11" customWidth="1"/>
    <col min="26" max="30" width="13" customWidth="1"/>
    <col min="31" max="31" width="2.7109375" customWidth="1"/>
    <col min="32" max="32" width="24.7109375" hidden="1" customWidth="1" outlineLevel="1"/>
    <col min="33" max="33" width="11.140625" style="11" hidden="1" customWidth="1" outlineLevel="1"/>
    <col min="34" max="34" width="11.140625" hidden="1" customWidth="1" outlineLevel="1"/>
    <col min="35" max="36" width="23" style="11" hidden="1" customWidth="1" outlineLevel="1"/>
    <col min="37" max="37" width="22.42578125" style="11" hidden="1" customWidth="1" outlineLevel="1"/>
    <col min="38" max="38" width="9.140625" collapsed="1"/>
  </cols>
  <sheetData>
    <row r="1" spans="2:32" ht="9.9499999999999993" customHeight="1" x14ac:dyDescent="0.25"/>
    <row r="2" spans="2:32" ht="21" x14ac:dyDescent="0.35">
      <c r="U2" s="1" t="s">
        <v>217</v>
      </c>
      <c r="V2" s="88"/>
      <c r="AF2" s="860" t="s">
        <v>1181</v>
      </c>
    </row>
    <row r="3" spans="2:32" ht="18.75" x14ac:dyDescent="0.3">
      <c r="U3" s="444" t="s">
        <v>650</v>
      </c>
      <c r="V3" s="88"/>
    </row>
    <row r="4" spans="2:32" x14ac:dyDescent="0.25">
      <c r="U4" s="34"/>
      <c r="V4" s="17"/>
    </row>
    <row r="5" spans="2:32" x14ac:dyDescent="0.25">
      <c r="B5" s="574" t="s">
        <v>859</v>
      </c>
      <c r="C5" s="574" t="s">
        <v>860</v>
      </c>
      <c r="D5" s="401"/>
      <c r="H5" s="403"/>
      <c r="I5" s="403"/>
      <c r="M5" s="396" t="s">
        <v>635</v>
      </c>
      <c r="N5" s="400" t="s">
        <v>644</v>
      </c>
      <c r="O5" s="401"/>
      <c r="U5" s="396" t="str">
        <f>_xlfn.CONCAT($M$5,"  ",N5)</f>
        <v>•  Class XX, X, Y, or Z</v>
      </c>
      <c r="V5" s="17"/>
    </row>
    <row r="6" spans="2:32" x14ac:dyDescent="0.25">
      <c r="B6" s="2">
        <v>300</v>
      </c>
      <c r="C6" s="2" t="s">
        <v>824</v>
      </c>
      <c r="D6" s="401"/>
      <c r="H6" s="403"/>
      <c r="I6" s="403"/>
      <c r="M6" s="72"/>
      <c r="N6" s="13" t="s">
        <v>665</v>
      </c>
      <c r="O6" s="401"/>
      <c r="U6" s="396" t="str">
        <f>_xlfn.CONCAT($M$5,"  ",N6)</f>
        <v>•  Go (Plus), NoGo (Minus), or Master* (Bilateral) tolerance</v>
      </c>
      <c r="V6" s="17"/>
    </row>
    <row r="7" spans="2:32" x14ac:dyDescent="0.25">
      <c r="D7" s="401"/>
      <c r="I7" s="11"/>
      <c r="M7" s="401"/>
      <c r="N7" s="13" t="s">
        <v>489</v>
      </c>
      <c r="O7" s="31"/>
      <c r="U7" s="396" t="str">
        <f>_xlfn.CONCAT($M$5,"  ",N7)</f>
        <v>•  Available in steel only</v>
      </c>
      <c r="V7" s="17"/>
    </row>
    <row r="8" spans="2:32" collapsed="1" x14ac:dyDescent="0.25">
      <c r="B8" s="3" t="s">
        <v>697</v>
      </c>
      <c r="D8" s="89"/>
      <c r="M8" s="89"/>
      <c r="N8" s="77" t="s">
        <v>657</v>
      </c>
      <c r="O8" s="89"/>
      <c r="U8" s="396" t="str">
        <f>_xlfn.CONCAT($M$5,"  ",N8)</f>
        <v>•  Custom marking available – $15 per handle flat</v>
      </c>
    </row>
    <row r="9" spans="2:32" ht="15.75" collapsed="1" thickBot="1" x14ac:dyDescent="0.3">
      <c r="B9" s="89"/>
      <c r="C9" s="77"/>
      <c r="D9" s="89"/>
      <c r="E9" s="89"/>
      <c r="F9" s="89"/>
      <c r="G9" s="89"/>
      <c r="U9" s="396"/>
    </row>
    <row r="10" spans="2:32" hidden="1" outlineLevel="1" x14ac:dyDescent="0.25">
      <c r="B10" s="89"/>
      <c r="C10" s="77"/>
      <c r="D10" s="89"/>
      <c r="E10" s="89"/>
      <c r="F10" s="89"/>
      <c r="G10" s="89"/>
      <c r="U10" s="396"/>
    </row>
    <row r="11" spans="2:32" hidden="1" outlineLevel="1" x14ac:dyDescent="0.25">
      <c r="B11" s="89"/>
      <c r="C11" s="77"/>
      <c r="D11" s="89"/>
      <c r="E11" s="89"/>
      <c r="F11" s="89"/>
      <c r="G11" s="89"/>
      <c r="H11" s="11" t="s">
        <v>605</v>
      </c>
      <c r="I11" s="11" t="s">
        <v>606</v>
      </c>
      <c r="U11" s="396"/>
    </row>
    <row r="12" spans="2:32" hidden="1" outlineLevel="1" x14ac:dyDescent="0.25">
      <c r="B12" s="89"/>
      <c r="C12" s="77"/>
      <c r="D12" s="89"/>
      <c r="E12" s="89"/>
      <c r="F12" s="261">
        <v>2.5</v>
      </c>
      <c r="G12" s="261"/>
      <c r="H12" s="585">
        <v>19</v>
      </c>
      <c r="I12" s="585">
        <v>21</v>
      </c>
      <c r="U12" s="396"/>
    </row>
    <row r="13" spans="2:32" hidden="1" outlineLevel="1" x14ac:dyDescent="0.25">
      <c r="B13" s="89"/>
      <c r="C13" s="77"/>
      <c r="D13" s="89"/>
      <c r="E13" s="89"/>
      <c r="F13" s="261">
        <v>3.5</v>
      </c>
      <c r="G13" s="261"/>
      <c r="H13" s="585">
        <v>20</v>
      </c>
      <c r="I13" s="585">
        <v>22</v>
      </c>
      <c r="U13" s="396"/>
    </row>
    <row r="14" spans="2:32" hidden="1" outlineLevel="1" x14ac:dyDescent="0.25">
      <c r="B14" s="89"/>
      <c r="C14" s="77"/>
      <c r="D14" s="89"/>
      <c r="E14" s="89"/>
      <c r="F14" s="261">
        <v>4.5</v>
      </c>
      <c r="G14" s="261"/>
      <c r="H14" s="585">
        <v>22</v>
      </c>
      <c r="I14" s="585">
        <v>24</v>
      </c>
      <c r="U14" s="396"/>
    </row>
    <row r="15" spans="2:32" hidden="1" outlineLevel="1" x14ac:dyDescent="0.25">
      <c r="B15" s="89"/>
      <c r="C15" s="77"/>
      <c r="D15" s="89"/>
      <c r="E15" s="89"/>
      <c r="F15" s="261">
        <v>5.5</v>
      </c>
      <c r="G15" s="261"/>
      <c r="H15" s="585">
        <v>24</v>
      </c>
      <c r="I15" s="585">
        <v>26</v>
      </c>
      <c r="U15" s="396"/>
    </row>
    <row r="16" spans="2:32" hidden="1" outlineLevel="1" x14ac:dyDescent="0.25">
      <c r="B16" s="89"/>
      <c r="C16" s="77"/>
      <c r="D16" s="89"/>
      <c r="E16" s="89"/>
      <c r="F16" s="261">
        <v>6</v>
      </c>
      <c r="G16" s="261"/>
      <c r="H16" s="585">
        <v>28</v>
      </c>
      <c r="I16" s="585">
        <v>30</v>
      </c>
      <c r="U16" s="396"/>
    </row>
    <row r="17" spans="1:37" ht="15.75" hidden="1" outlineLevel="1" thickBot="1" x14ac:dyDescent="0.3">
      <c r="B17" s="89"/>
      <c r="C17" s="77"/>
      <c r="D17" s="89"/>
      <c r="E17" s="89"/>
      <c r="F17" s="261">
        <v>7</v>
      </c>
      <c r="G17" s="261"/>
      <c r="H17" s="585">
        <v>30</v>
      </c>
      <c r="I17" s="585">
        <v>34</v>
      </c>
      <c r="U17" s="396"/>
    </row>
    <row r="18" spans="1:37" s="72" customFormat="1" ht="15.75" x14ac:dyDescent="0.25">
      <c r="A18"/>
      <c r="B18" s="72" t="s">
        <v>603</v>
      </c>
      <c r="D18" s="95">
        <v>0.2</v>
      </c>
      <c r="J18"/>
      <c r="K18" s="11"/>
      <c r="L18"/>
      <c r="M18"/>
      <c r="P18" s="537"/>
      <c r="T18" s="537"/>
      <c r="U18" s="870" t="str">
        <f>U2</f>
        <v>Trilocks</v>
      </c>
      <c r="V18" s="597"/>
      <c r="W18" s="597"/>
      <c r="X18" s="597"/>
      <c r="Y18" s="597"/>
      <c r="Z18" s="597"/>
      <c r="AA18" s="597"/>
      <c r="AB18" s="597"/>
      <c r="AC18" s="597"/>
      <c r="AD18" s="598"/>
      <c r="AF18" s="915" t="s">
        <v>1180</v>
      </c>
      <c r="AG18" s="592"/>
      <c r="AH18" s="592"/>
      <c r="AI18" s="592"/>
      <c r="AJ18" s="597"/>
      <c r="AK18" s="598"/>
    </row>
    <row r="19" spans="1:37" s="72" customFormat="1" ht="17.25" x14ac:dyDescent="0.25">
      <c r="A19"/>
      <c r="B19" s="72" t="s">
        <v>694</v>
      </c>
      <c r="D19" s="476">
        <v>5</v>
      </c>
      <c r="J19"/>
      <c r="K19" s="11"/>
      <c r="L19"/>
      <c r="M19" s="488" t="s">
        <v>188</v>
      </c>
      <c r="N19" s="538"/>
      <c r="O19" s="538"/>
      <c r="P19" s="537"/>
      <c r="Q19" s="488" t="s">
        <v>215</v>
      </c>
      <c r="R19" s="538"/>
      <c r="S19" s="538"/>
      <c r="T19" s="537"/>
      <c r="U19" s="1300" t="s">
        <v>3</v>
      </c>
      <c r="V19" s="1301"/>
      <c r="W19" s="96" t="s">
        <v>598</v>
      </c>
      <c r="X19" s="97"/>
      <c r="Y19" s="1304" t="s">
        <v>573</v>
      </c>
      <c r="Z19" s="96" t="s">
        <v>599</v>
      </c>
      <c r="AA19" s="97"/>
      <c r="AB19" s="96" t="s">
        <v>600</v>
      </c>
      <c r="AC19" s="96"/>
      <c r="AD19" s="98"/>
      <c r="AF19" s="1309" t="s">
        <v>3</v>
      </c>
      <c r="AG19" s="1304" t="s">
        <v>397</v>
      </c>
      <c r="AH19" s="1298" t="s">
        <v>573</v>
      </c>
      <c r="AI19" s="1298" t="s">
        <v>597</v>
      </c>
      <c r="AJ19" s="1298" t="s">
        <v>596</v>
      </c>
      <c r="AK19" s="1307" t="s">
        <v>601</v>
      </c>
    </row>
    <row r="20" spans="1:37" s="72" customFormat="1" x14ac:dyDescent="0.25">
      <c r="A20"/>
      <c r="B20" s="263"/>
      <c r="C20" s="263"/>
      <c r="D20" s="263"/>
      <c r="F20" s="264" t="s">
        <v>607</v>
      </c>
      <c r="G20" s="264" t="s">
        <v>936</v>
      </c>
      <c r="H20" s="264" t="s">
        <v>605</v>
      </c>
      <c r="I20" s="264" t="s">
        <v>606</v>
      </c>
      <c r="J20"/>
      <c r="K20" s="11"/>
      <c r="L20"/>
      <c r="M20" s="571" t="s">
        <v>622</v>
      </c>
      <c r="N20" s="571" t="s">
        <v>623</v>
      </c>
      <c r="O20" s="571" t="s">
        <v>626</v>
      </c>
      <c r="P20" s="537"/>
      <c r="Q20" s="571" t="s">
        <v>622</v>
      </c>
      <c r="R20" s="571" t="s">
        <v>623</v>
      </c>
      <c r="S20" s="571" t="s">
        <v>626</v>
      </c>
      <c r="T20" s="537"/>
      <c r="U20" s="1302"/>
      <c r="V20" s="1303"/>
      <c r="W20" s="502" t="s">
        <v>597</v>
      </c>
      <c r="X20" s="502" t="s">
        <v>596</v>
      </c>
      <c r="Y20" s="1299"/>
      <c r="Z20" s="502" t="s">
        <v>597</v>
      </c>
      <c r="AA20" s="502" t="s">
        <v>596</v>
      </c>
      <c r="AB20" s="502" t="s">
        <v>597</v>
      </c>
      <c r="AC20" s="502" t="s">
        <v>596</v>
      </c>
      <c r="AD20" s="219" t="s">
        <v>601</v>
      </c>
      <c r="AF20" s="1310"/>
      <c r="AG20" s="1299"/>
      <c r="AH20" s="1299"/>
      <c r="AI20" s="1299"/>
      <c r="AJ20" s="1299"/>
      <c r="AK20" s="1308"/>
    </row>
    <row r="21" spans="1:37" x14ac:dyDescent="0.25">
      <c r="F21" s="261">
        <v>2.5</v>
      </c>
      <c r="G21" s="261">
        <v>1</v>
      </c>
      <c r="H21" s="890">
        <f>INDEX($H$12:$I$17,MATCH($F21,$F$12:$F$17,0),MATCH(H$20,$H$11:$I$11,0))</f>
        <v>19</v>
      </c>
      <c r="I21" s="890">
        <f>INDEX($H$12:$I$17,MATCH($F21,$F$12:$F$17,0),MATCH(I$20,$H$11:$I$11,0))</f>
        <v>21</v>
      </c>
      <c r="K21" s="18" t="s">
        <v>198</v>
      </c>
      <c r="M21" s="296">
        <v>121.5</v>
      </c>
      <c r="N21" s="296">
        <v>150</v>
      </c>
      <c r="O21" s="569">
        <f>((N21-M21)/M21)</f>
        <v>0.23456790123456789</v>
      </c>
      <c r="P21" s="296"/>
      <c r="Q21" s="296">
        <v>117.5</v>
      </c>
      <c r="R21" s="529">
        <f>MROUND((1+$O21)*Q21,5)</f>
        <v>145</v>
      </c>
      <c r="S21" s="569">
        <f>((R21-Q21)/Q21)</f>
        <v>0.23404255319148937</v>
      </c>
      <c r="T21" s="95"/>
      <c r="U21" s="102"/>
      <c r="W21" s="103"/>
      <c r="X21" s="103"/>
      <c r="Y21" s="104" t="s">
        <v>198</v>
      </c>
      <c r="Z21" s="105">
        <f t="shared" ref="Z21:Z48" si="0">N21</f>
        <v>150</v>
      </c>
      <c r="AA21" s="105">
        <f>R21</f>
        <v>145</v>
      </c>
      <c r="AB21" s="105">
        <f t="shared" ref="AB21:AB48" si="1">MROUND((1+$D$18)*($Z21+$H21),$D$19)</f>
        <v>205</v>
      </c>
      <c r="AC21" s="105">
        <f t="shared" ref="AC21:AC48" si="2">MROUND((1+$D$18)*($AA21+$H21),$D$19)</f>
        <v>195</v>
      </c>
      <c r="AD21" s="106">
        <f t="shared" ref="AD21:AD48" si="3">MROUND((1+$D$18)*($Z21+$I21+$AA21),$D$19)</f>
        <v>380</v>
      </c>
      <c r="AF21" s="126"/>
      <c r="AG21" s="1311" t="s">
        <v>466</v>
      </c>
      <c r="AH21" s="104" t="s">
        <v>198</v>
      </c>
      <c r="AI21" s="11" t="str">
        <f>_xlfn.XLOOKUP($G21,$AG$54:$AG$60,AI$54:AI$60)</f>
        <v>ASSY-TR-XX-2.5-GO</v>
      </c>
      <c r="AJ21" s="504" t="str">
        <f>_xlfn.XLOOKUP($G21,$AG$54:$AG$60,AJ$54:AJ$60)</f>
        <v>ASSY-TR-XX-2.5-NG</v>
      </c>
      <c r="AK21" s="507" t="str">
        <f>_xlfn.XLOOKUP($G21,$AG$54:$AG$60,AK$54:AK$60)</f>
        <v>ASSY-TR-XX-2.5</v>
      </c>
    </row>
    <row r="22" spans="1:37" x14ac:dyDescent="0.25">
      <c r="B22" t="s">
        <v>6</v>
      </c>
      <c r="C22" s="93">
        <v>0.7601</v>
      </c>
      <c r="D22" s="93">
        <v>0.94699999999999995</v>
      </c>
      <c r="E22" s="90"/>
      <c r="F22" s="272"/>
      <c r="G22" s="836">
        <f>G21</f>
        <v>1</v>
      </c>
      <c r="H22" s="891">
        <f t="shared" ref="H22:I24" si="4">H21</f>
        <v>19</v>
      </c>
      <c r="I22" s="891">
        <f t="shared" si="4"/>
        <v>21</v>
      </c>
      <c r="K22" s="18" t="s">
        <v>197</v>
      </c>
      <c r="M22" s="296">
        <v>90.5</v>
      </c>
      <c r="N22" s="296">
        <v>120</v>
      </c>
      <c r="O22" s="569">
        <f t="shared" ref="O22:O48" si="5">((N22-M22)/M22)</f>
        <v>0.32596685082872928</v>
      </c>
      <c r="P22" s="296"/>
      <c r="Q22" s="296">
        <v>86.5</v>
      </c>
      <c r="R22" s="529">
        <f t="shared" ref="R22:R48" si="6">MROUND((1+$O22)*Q22,5)</f>
        <v>115</v>
      </c>
      <c r="S22" s="569">
        <f t="shared" ref="S22:S48" si="7">((R22-Q22)/Q22)</f>
        <v>0.32947976878612717</v>
      </c>
      <c r="T22" s="95"/>
      <c r="U22" s="107" t="str">
        <f>_xlfn.CONCAT(TEXT($C22,"#.0000"),""""," - ",TEXT($D22,"#.000#"),"""")</f>
        <v>.7601" - .947"</v>
      </c>
      <c r="V22" s="108"/>
      <c r="W22" s="253">
        <v>1.25</v>
      </c>
      <c r="X22" s="253">
        <v>0.75</v>
      </c>
      <c r="Y22" s="104" t="s">
        <v>197</v>
      </c>
      <c r="Z22" s="105">
        <f t="shared" si="0"/>
        <v>120</v>
      </c>
      <c r="AA22" s="105">
        <f t="shared" ref="AA22:AA48" si="8">R22</f>
        <v>115</v>
      </c>
      <c r="AB22" s="105">
        <f t="shared" si="1"/>
        <v>165</v>
      </c>
      <c r="AC22" s="105">
        <f t="shared" si="2"/>
        <v>160</v>
      </c>
      <c r="AD22" s="106">
        <f t="shared" si="3"/>
        <v>305</v>
      </c>
      <c r="AF22" s="107" t="str">
        <f>_xlfn.CONCAT(TEXT($C22,"#.0000"),""""," - ",TEXT($D22,"#.000#"),"""")</f>
        <v>.7601" - .947"</v>
      </c>
      <c r="AG22" s="1311"/>
      <c r="AH22" s="104" t="s">
        <v>197</v>
      </c>
      <c r="AI22" s="11" t="str">
        <f>_xlfn.XLOOKUP($G22,$AG$62:$AG$68,AI$62:AI$68)</f>
        <v>ASSY-TR-X-2.5-GO</v>
      </c>
      <c r="AJ22" s="104" t="str">
        <f>_xlfn.XLOOKUP($G22,$AG$62:$AG$68,AJ$62:AJ$68)</f>
        <v>ASSY-TR-X-2.5-NG</v>
      </c>
      <c r="AK22" s="507" t="str">
        <f>_xlfn.XLOOKUP($G22,$AG$62:$AG$68,AK$62:AK$68)</f>
        <v>ASSY-TR-X-2.5</v>
      </c>
    </row>
    <row r="23" spans="1:37" x14ac:dyDescent="0.25">
      <c r="B23" t="s">
        <v>576</v>
      </c>
      <c r="C23" s="254">
        <v>19.300999999999998</v>
      </c>
      <c r="D23" s="254">
        <v>24.05</v>
      </c>
      <c r="E23" s="90"/>
      <c r="F23" s="272"/>
      <c r="G23" s="836">
        <f t="shared" ref="G23:G24" si="9">G22</f>
        <v>1</v>
      </c>
      <c r="H23" s="891">
        <f t="shared" si="4"/>
        <v>19</v>
      </c>
      <c r="I23" s="891">
        <f t="shared" si="4"/>
        <v>21</v>
      </c>
      <c r="K23" s="18" t="s">
        <v>209</v>
      </c>
      <c r="M23" s="296">
        <v>81</v>
      </c>
      <c r="N23" s="296">
        <v>105</v>
      </c>
      <c r="O23" s="569">
        <f t="shared" si="5"/>
        <v>0.29629629629629628</v>
      </c>
      <c r="P23" s="296"/>
      <c r="Q23" s="296">
        <v>77</v>
      </c>
      <c r="R23" s="529">
        <f t="shared" si="6"/>
        <v>100</v>
      </c>
      <c r="S23" s="569">
        <f t="shared" si="7"/>
        <v>0.29870129870129869</v>
      </c>
      <c r="T23" s="95"/>
      <c r="U23" s="107" t="str">
        <f>_xlfn.CONCAT(TEXT($C23,"0.00#")," - ",TEXT($D23,"0.00#"),"mm")</f>
        <v>19.301 - 24.05mm</v>
      </c>
      <c r="V23" s="108"/>
      <c r="W23" s="259">
        <v>31.8</v>
      </c>
      <c r="X23" s="259">
        <v>19</v>
      </c>
      <c r="Y23" s="104" t="s">
        <v>209</v>
      </c>
      <c r="Z23" s="105">
        <f t="shared" si="0"/>
        <v>105</v>
      </c>
      <c r="AA23" s="105">
        <f t="shared" si="8"/>
        <v>100</v>
      </c>
      <c r="AB23" s="105">
        <f t="shared" si="1"/>
        <v>150</v>
      </c>
      <c r="AC23" s="105">
        <f t="shared" si="2"/>
        <v>145</v>
      </c>
      <c r="AD23" s="106">
        <f t="shared" si="3"/>
        <v>270</v>
      </c>
      <c r="AF23" s="107" t="str">
        <f>_xlfn.CONCAT(TEXT($C23,"0.00#")," - ",TEXT($D23,"0.00#"),"mm")</f>
        <v>19.301 - 24.05mm</v>
      </c>
      <c r="AG23" s="1311"/>
      <c r="AH23" s="104" t="s">
        <v>209</v>
      </c>
      <c r="AI23" s="11" t="str">
        <f>_xlfn.XLOOKUP($G23,$AG$70:$AG$76,AI$70:AI$76)</f>
        <v>ASSY-TR-Y-2.5-GO</v>
      </c>
      <c r="AJ23" s="104" t="str">
        <f>_xlfn.XLOOKUP($G23,$AG$70:$AG$76,AJ$70:AJ$76)</f>
        <v>ASSY-TR-Y-2.5-NG</v>
      </c>
      <c r="AK23" s="507" t="str">
        <f>_xlfn.XLOOKUP($G23,$AG$70:$AG$76,AK$70:AK$76)</f>
        <v>ASSY-TR-Y-2.5</v>
      </c>
    </row>
    <row r="24" spans="1:37" x14ac:dyDescent="0.25">
      <c r="B24" s="265"/>
      <c r="C24" s="266"/>
      <c r="D24" s="266"/>
      <c r="E24" s="90"/>
      <c r="F24" s="892"/>
      <c r="G24" s="837">
        <f t="shared" si="9"/>
        <v>1</v>
      </c>
      <c r="H24" s="893">
        <f t="shared" si="4"/>
        <v>19</v>
      </c>
      <c r="I24" s="893">
        <f t="shared" si="4"/>
        <v>21</v>
      </c>
      <c r="K24" s="889" t="s">
        <v>196</v>
      </c>
      <c r="M24" s="530">
        <v>62.25</v>
      </c>
      <c r="N24" s="530">
        <v>80</v>
      </c>
      <c r="O24" s="570">
        <f t="shared" si="5"/>
        <v>0.28514056224899598</v>
      </c>
      <c r="P24" s="296"/>
      <c r="Q24" s="530">
        <v>54</v>
      </c>
      <c r="R24" s="555">
        <f t="shared" si="6"/>
        <v>70</v>
      </c>
      <c r="S24" s="570">
        <f t="shared" si="7"/>
        <v>0.29629629629629628</v>
      </c>
      <c r="T24" s="95"/>
      <c r="U24" s="102"/>
      <c r="W24" s="109"/>
      <c r="X24" s="110"/>
      <c r="Y24" s="104" t="s">
        <v>196</v>
      </c>
      <c r="Z24" s="105">
        <f t="shared" si="0"/>
        <v>80</v>
      </c>
      <c r="AA24" s="105">
        <f t="shared" si="8"/>
        <v>70</v>
      </c>
      <c r="AB24" s="105">
        <f t="shared" si="1"/>
        <v>120</v>
      </c>
      <c r="AC24" s="105">
        <f t="shared" si="2"/>
        <v>105</v>
      </c>
      <c r="AD24" s="106">
        <f t="shared" si="3"/>
        <v>205</v>
      </c>
      <c r="AF24" s="102"/>
      <c r="AG24" s="1311"/>
      <c r="AH24" s="104" t="s">
        <v>196</v>
      </c>
      <c r="AI24" s="11" t="str">
        <f>_xlfn.XLOOKUP($G24,$AG$78:$AG$84,AI$78:AI$84)</f>
        <v>ASSY-TR-Z-2.5-GO</v>
      </c>
      <c r="AJ24" s="104" t="str">
        <f>_xlfn.XLOOKUP($G24,$AG$78:$AG$84,AJ$78:AJ$84)</f>
        <v>ASSY-TR-Z-2.5-NG</v>
      </c>
      <c r="AK24" s="507" t="str">
        <f>_xlfn.XLOOKUP($G24,$AG$78:$AG$84,AK$78:AK$84)</f>
        <v>ASSY-TR-Z-2.5</v>
      </c>
    </row>
    <row r="25" spans="1:37" x14ac:dyDescent="0.25">
      <c r="F25" s="261">
        <v>3.5</v>
      </c>
      <c r="G25" s="261">
        <v>2</v>
      </c>
      <c r="H25" s="894">
        <f>INDEX($H$12:$I$17,MATCH($F25,$F$12:$F$17,0),MATCH(H$20,$H$11:$I$11,0))</f>
        <v>20</v>
      </c>
      <c r="I25" s="894">
        <f>INDEX($H$12:$I$17,MATCH($F25,$F$12:$F$17,0),MATCH(I$20,$H$11:$I$11,0))</f>
        <v>22</v>
      </c>
      <c r="K25" s="18" t="s">
        <v>198</v>
      </c>
      <c r="M25" s="296">
        <v>124.25</v>
      </c>
      <c r="N25" s="296">
        <v>155</v>
      </c>
      <c r="O25" s="569">
        <f t="shared" si="5"/>
        <v>0.24748490945674045</v>
      </c>
      <c r="P25" s="296"/>
      <c r="Q25" s="296">
        <v>117.5</v>
      </c>
      <c r="R25" s="529">
        <f t="shared" si="6"/>
        <v>145</v>
      </c>
      <c r="S25" s="569">
        <f t="shared" si="7"/>
        <v>0.23404255319148937</v>
      </c>
      <c r="T25" s="95"/>
      <c r="U25" s="931"/>
      <c r="V25" s="945"/>
      <c r="W25" s="946"/>
      <c r="X25" s="947"/>
      <c r="Y25" s="948" t="s">
        <v>198</v>
      </c>
      <c r="Z25" s="949">
        <f t="shared" si="0"/>
        <v>155</v>
      </c>
      <c r="AA25" s="949">
        <f t="shared" si="8"/>
        <v>145</v>
      </c>
      <c r="AB25" s="949">
        <f t="shared" si="1"/>
        <v>210</v>
      </c>
      <c r="AC25" s="949">
        <f t="shared" si="2"/>
        <v>200</v>
      </c>
      <c r="AD25" s="534">
        <f t="shared" si="3"/>
        <v>385</v>
      </c>
      <c r="AF25" s="931"/>
      <c r="AG25" s="1312" t="s">
        <v>467</v>
      </c>
      <c r="AH25" s="948" t="s">
        <v>198</v>
      </c>
      <c r="AI25" s="953" t="str">
        <f>_xlfn.XLOOKUP($G25,$AG$54:$AG$60,AI$54:AI$60)</f>
        <v>ASSY-TR-XX-3.5-GO</v>
      </c>
      <c r="AJ25" s="948" t="str">
        <f>_xlfn.XLOOKUP($G25,$AG$54:$AG$60,AJ$54:AJ$60)</f>
        <v>ASSY-TR-XX-3.5-NG</v>
      </c>
      <c r="AK25" s="954" t="str">
        <f>_xlfn.XLOOKUP($G25,$AG$54:$AG$60,AK$54:AK$60)</f>
        <v>ASSY-TR-XX-3.5</v>
      </c>
    </row>
    <row r="26" spans="1:37" x14ac:dyDescent="0.25">
      <c r="B26" t="s">
        <v>6</v>
      </c>
      <c r="C26" s="93">
        <v>0.94710000000000005</v>
      </c>
      <c r="D26" s="93">
        <v>1.135</v>
      </c>
      <c r="E26" s="90"/>
      <c r="F26" s="272"/>
      <c r="G26" s="836">
        <f>G25</f>
        <v>2</v>
      </c>
      <c r="H26" s="891">
        <f t="shared" ref="H26:I28" si="10">H25</f>
        <v>20</v>
      </c>
      <c r="I26" s="891">
        <f t="shared" si="10"/>
        <v>22</v>
      </c>
      <c r="K26" s="18" t="s">
        <v>197</v>
      </c>
      <c r="M26" s="296">
        <v>93.25</v>
      </c>
      <c r="N26" s="296">
        <v>125</v>
      </c>
      <c r="O26" s="569">
        <f t="shared" si="5"/>
        <v>0.34048257372654156</v>
      </c>
      <c r="P26" s="296"/>
      <c r="Q26" s="296">
        <v>89.25</v>
      </c>
      <c r="R26" s="529">
        <f t="shared" si="6"/>
        <v>120</v>
      </c>
      <c r="S26" s="569">
        <f t="shared" si="7"/>
        <v>0.34453781512605042</v>
      </c>
      <c r="T26" s="95"/>
      <c r="U26" s="114" t="str">
        <f>_xlfn.CONCAT(TEXT($C26,"#.0000"),""""," - ",TEXT($D26,"#.000#"),"""")</f>
        <v>.9471" - 1.135"</v>
      </c>
      <c r="V26" s="877"/>
      <c r="W26" s="256">
        <v>1.375</v>
      </c>
      <c r="X26" s="256">
        <v>0.75</v>
      </c>
      <c r="Y26" s="116" t="s">
        <v>197</v>
      </c>
      <c r="Z26" s="115">
        <f t="shared" si="0"/>
        <v>125</v>
      </c>
      <c r="AA26" s="115">
        <f t="shared" si="8"/>
        <v>120</v>
      </c>
      <c r="AB26" s="115">
        <f t="shared" si="1"/>
        <v>175</v>
      </c>
      <c r="AC26" s="115">
        <f t="shared" si="2"/>
        <v>170</v>
      </c>
      <c r="AD26" s="117">
        <f t="shared" si="3"/>
        <v>320</v>
      </c>
      <c r="AF26" s="114" t="str">
        <f>_xlfn.CONCAT(TEXT($C26,"#.0000"),""""," - ",TEXT($D26,"#.000#"),"""")</f>
        <v>.9471" - 1.135"</v>
      </c>
      <c r="AG26" s="1313"/>
      <c r="AH26" s="116" t="s">
        <v>197</v>
      </c>
      <c r="AI26" s="878" t="str">
        <f>_xlfn.XLOOKUP($G26,$AG$62:$AG$68,AI$62:AI$68)</f>
        <v>ASSY-TR-X-3.5-GO</v>
      </c>
      <c r="AJ26" s="116" t="str">
        <f>_xlfn.XLOOKUP($G26,$AG$62:$AG$68,AJ$62:AJ$68)</f>
        <v>ASSY-TR-X-3.5-NG</v>
      </c>
      <c r="AK26" s="881" t="str">
        <f>_xlfn.XLOOKUP($G26,$AG$62:$AG$68,AK$62:AK$68)</f>
        <v>ASSY-TR-X-3.5</v>
      </c>
    </row>
    <row r="27" spans="1:37" x14ac:dyDescent="0.25">
      <c r="B27" t="s">
        <v>576</v>
      </c>
      <c r="C27" s="254">
        <v>24.050999999999998</v>
      </c>
      <c r="D27" s="254">
        <v>28.83</v>
      </c>
      <c r="E27" s="90"/>
      <c r="F27" s="272"/>
      <c r="G27" s="836">
        <f t="shared" ref="G27:G28" si="11">G26</f>
        <v>2</v>
      </c>
      <c r="H27" s="891">
        <f t="shared" si="10"/>
        <v>20</v>
      </c>
      <c r="I27" s="891">
        <f t="shared" si="10"/>
        <v>22</v>
      </c>
      <c r="K27" s="18" t="s">
        <v>209</v>
      </c>
      <c r="M27" s="296">
        <v>83.75</v>
      </c>
      <c r="N27" s="296">
        <v>110</v>
      </c>
      <c r="O27" s="569">
        <f t="shared" si="5"/>
        <v>0.31343283582089554</v>
      </c>
      <c r="P27" s="296"/>
      <c r="Q27" s="296">
        <v>81</v>
      </c>
      <c r="R27" s="529">
        <f t="shared" si="6"/>
        <v>105</v>
      </c>
      <c r="S27" s="569">
        <f t="shared" si="7"/>
        <v>0.29629629629629628</v>
      </c>
      <c r="T27" s="95"/>
      <c r="U27" s="114" t="str">
        <f>_xlfn.CONCAT(TEXT($C27,"0.00#")," - ",TEXT($D27,"0.00#"),"mm")</f>
        <v>24.051 - 28.83mm</v>
      </c>
      <c r="V27" s="877"/>
      <c r="W27" s="255">
        <v>34.9</v>
      </c>
      <c r="X27" s="255">
        <v>19</v>
      </c>
      <c r="Y27" s="116" t="s">
        <v>209</v>
      </c>
      <c r="Z27" s="115">
        <f t="shared" si="0"/>
        <v>110</v>
      </c>
      <c r="AA27" s="115">
        <f t="shared" si="8"/>
        <v>105</v>
      </c>
      <c r="AB27" s="115">
        <f t="shared" si="1"/>
        <v>155</v>
      </c>
      <c r="AC27" s="115">
        <f t="shared" si="2"/>
        <v>150</v>
      </c>
      <c r="AD27" s="117">
        <f t="shared" si="3"/>
        <v>285</v>
      </c>
      <c r="AF27" s="114" t="str">
        <f>_xlfn.CONCAT(TEXT($C27,"0.00#")," - ",TEXT($D27,"0.00#"),"mm")</f>
        <v>24.051 - 28.83mm</v>
      </c>
      <c r="AG27" s="1313"/>
      <c r="AH27" s="116" t="s">
        <v>209</v>
      </c>
      <c r="AI27" s="878" t="str">
        <f>_xlfn.XLOOKUP($G27,$AG$70:$AG$76,AI$70:AI$76)</f>
        <v>ASSY-TR-Y-3.5-GO</v>
      </c>
      <c r="AJ27" s="116" t="str">
        <f>_xlfn.XLOOKUP($G27,$AG$70:$AG$76,AJ$70:AJ$76)</f>
        <v>ASSY-TR-Y-3.5-NG</v>
      </c>
      <c r="AK27" s="881" t="str">
        <f>_xlfn.XLOOKUP($G27,$AG$70:$AG$76,AK$70:AK$76)</f>
        <v>ASSY-TR-Y-3.5</v>
      </c>
    </row>
    <row r="28" spans="1:37" x14ac:dyDescent="0.25">
      <c r="B28" s="265"/>
      <c r="C28" s="266"/>
      <c r="D28" s="266"/>
      <c r="E28" s="90"/>
      <c r="F28" s="892"/>
      <c r="G28" s="837">
        <f t="shared" si="11"/>
        <v>2</v>
      </c>
      <c r="H28" s="893">
        <f t="shared" si="10"/>
        <v>20</v>
      </c>
      <c r="I28" s="893">
        <f t="shared" si="10"/>
        <v>22</v>
      </c>
      <c r="K28" s="889" t="s">
        <v>196</v>
      </c>
      <c r="M28" s="530">
        <v>65</v>
      </c>
      <c r="N28" s="530">
        <v>85</v>
      </c>
      <c r="O28" s="570">
        <f t="shared" si="5"/>
        <v>0.30769230769230771</v>
      </c>
      <c r="P28" s="296"/>
      <c r="Q28" s="530">
        <v>56.75</v>
      </c>
      <c r="R28" s="555">
        <f t="shared" si="6"/>
        <v>75</v>
      </c>
      <c r="S28" s="570">
        <f t="shared" si="7"/>
        <v>0.32158590308370044</v>
      </c>
      <c r="T28" s="95"/>
      <c r="U28" s="935"/>
      <c r="V28" s="939"/>
      <c r="W28" s="940"/>
      <c r="X28" s="941"/>
      <c r="Y28" s="942" t="s">
        <v>196</v>
      </c>
      <c r="Z28" s="943">
        <f t="shared" si="0"/>
        <v>85</v>
      </c>
      <c r="AA28" s="943">
        <f t="shared" si="8"/>
        <v>75</v>
      </c>
      <c r="AB28" s="943">
        <f t="shared" si="1"/>
        <v>125</v>
      </c>
      <c r="AC28" s="943">
        <f t="shared" si="2"/>
        <v>115</v>
      </c>
      <c r="AD28" s="944">
        <f t="shared" si="3"/>
        <v>220</v>
      </c>
      <c r="AF28" s="935"/>
      <c r="AG28" s="1314"/>
      <c r="AH28" s="942" t="s">
        <v>196</v>
      </c>
      <c r="AI28" s="955" t="str">
        <f>_xlfn.XLOOKUP($G28,$AG$78:$AG$84,AI$78:AI$84)</f>
        <v>ASSY-TR-Z-3.5-GO</v>
      </c>
      <c r="AJ28" s="942" t="str">
        <f>_xlfn.XLOOKUP($G28,$AG$78:$AG$84,AJ$78:AJ$84)</f>
        <v>ASSY-TR-Z-3.5-NG</v>
      </c>
      <c r="AK28" s="956" t="str">
        <f>_xlfn.XLOOKUP($G28,$AG$78:$AG$84,AK$78:AK$84)</f>
        <v>ASSY-TR-Z-3.5</v>
      </c>
    </row>
    <row r="29" spans="1:37" x14ac:dyDescent="0.25">
      <c r="F29" s="261">
        <v>4.5</v>
      </c>
      <c r="G29" s="261">
        <v>3</v>
      </c>
      <c r="H29" s="894">
        <f>INDEX($H$12:$I$17,MATCH($F29,$F$12:$F$17,0),MATCH(H$20,$H$11:$I$11,0))</f>
        <v>22</v>
      </c>
      <c r="I29" s="894">
        <f>INDEX($H$12:$I$17,MATCH($F29,$F$12:$F$17,0),MATCH(I$20,$H$11:$I$11,0))</f>
        <v>24</v>
      </c>
      <c r="K29" s="18" t="s">
        <v>198</v>
      </c>
      <c r="M29" s="296">
        <v>127</v>
      </c>
      <c r="N29" s="296">
        <v>160</v>
      </c>
      <c r="O29" s="569">
        <f t="shared" si="5"/>
        <v>0.25984251968503935</v>
      </c>
      <c r="P29" s="296"/>
      <c r="Q29" s="296">
        <v>121.5</v>
      </c>
      <c r="R29" s="529">
        <f t="shared" si="6"/>
        <v>155</v>
      </c>
      <c r="S29" s="569">
        <f t="shared" si="7"/>
        <v>0.27572016460905352</v>
      </c>
      <c r="T29" s="95"/>
      <c r="U29" s="102"/>
      <c r="W29" s="109"/>
      <c r="X29" s="110"/>
      <c r="Y29" s="104" t="s">
        <v>198</v>
      </c>
      <c r="Z29" s="105">
        <f t="shared" si="0"/>
        <v>160</v>
      </c>
      <c r="AA29" s="105">
        <f t="shared" si="8"/>
        <v>155</v>
      </c>
      <c r="AB29" s="105">
        <f t="shared" si="1"/>
        <v>220</v>
      </c>
      <c r="AC29" s="105">
        <f t="shared" si="2"/>
        <v>210</v>
      </c>
      <c r="AD29" s="106">
        <f t="shared" si="3"/>
        <v>405</v>
      </c>
      <c r="AF29" s="102"/>
      <c r="AG29" s="1311" t="s">
        <v>468</v>
      </c>
      <c r="AH29" s="104" t="s">
        <v>198</v>
      </c>
      <c r="AI29" s="11" t="str">
        <f>_xlfn.XLOOKUP($G29,$AG$54:$AG$60,AI$54:AI$60)</f>
        <v>ASSY-TR-XX-4.5-GO</v>
      </c>
      <c r="AJ29" s="104" t="str">
        <f>_xlfn.XLOOKUP($G29,$AG$54:$AG$60,AJ$54:AJ$60)</f>
        <v>ASSY-TR-XX-4.5-NG</v>
      </c>
      <c r="AK29" s="507" t="str">
        <f>_xlfn.XLOOKUP($G29,$AG$54:$AG$60,AK$54:AK$60)</f>
        <v>ASSY-TR-XX-4.5</v>
      </c>
    </row>
    <row r="30" spans="1:37" x14ac:dyDescent="0.25">
      <c r="B30" t="s">
        <v>6</v>
      </c>
      <c r="C30" s="93">
        <v>1.1351</v>
      </c>
      <c r="D30" s="93">
        <v>1.51</v>
      </c>
      <c r="E30" s="90"/>
      <c r="F30" s="272"/>
      <c r="G30" s="836">
        <f>G29</f>
        <v>3</v>
      </c>
      <c r="H30" s="891">
        <f t="shared" ref="H30:I32" si="12">H29</f>
        <v>22</v>
      </c>
      <c r="I30" s="891">
        <f t="shared" si="12"/>
        <v>24</v>
      </c>
      <c r="K30" s="18" t="s">
        <v>197</v>
      </c>
      <c r="M30" s="296">
        <v>101.25</v>
      </c>
      <c r="N30" s="296">
        <v>130</v>
      </c>
      <c r="O30" s="569">
        <f>((N30-M30)/M30)</f>
        <v>0.2839506172839506</v>
      </c>
      <c r="P30" s="296"/>
      <c r="Q30" s="296">
        <v>94.5</v>
      </c>
      <c r="R30" s="529">
        <f t="shared" si="6"/>
        <v>120</v>
      </c>
      <c r="S30" s="569">
        <f t="shared" si="7"/>
        <v>0.26984126984126983</v>
      </c>
      <c r="T30" s="95"/>
      <c r="U30" s="107" t="str">
        <f>_xlfn.CONCAT(TEXT($C30,"#.0000"),""""," - ",TEXT($D30,"#.000#"),"""")</f>
        <v>1.1351" - 1.510"</v>
      </c>
      <c r="V30" s="108"/>
      <c r="W30" s="253">
        <v>1.5</v>
      </c>
      <c r="X30" s="253">
        <v>0.75</v>
      </c>
      <c r="Y30" s="104" t="s">
        <v>197</v>
      </c>
      <c r="Z30" s="105">
        <f t="shared" si="0"/>
        <v>130</v>
      </c>
      <c r="AA30" s="105">
        <f t="shared" si="8"/>
        <v>120</v>
      </c>
      <c r="AB30" s="105">
        <f t="shared" si="1"/>
        <v>180</v>
      </c>
      <c r="AC30" s="105">
        <f t="shared" si="2"/>
        <v>170</v>
      </c>
      <c r="AD30" s="106">
        <f t="shared" si="3"/>
        <v>330</v>
      </c>
      <c r="AF30" s="107" t="str">
        <f>_xlfn.CONCAT(TEXT($C30,"#.0000"),""""," - ",TEXT($D30,"#.000#"),"""")</f>
        <v>1.1351" - 1.510"</v>
      </c>
      <c r="AG30" s="1311"/>
      <c r="AH30" s="104" t="s">
        <v>197</v>
      </c>
      <c r="AI30" s="11" t="str">
        <f>_xlfn.XLOOKUP($G30,$AG$62:$AG$68,AI$62:AI$68)</f>
        <v>ASSY-TR-X-4.5-GO</v>
      </c>
      <c r="AJ30" s="104" t="str">
        <f>_xlfn.XLOOKUP($G30,$AG$62:$AG$68,AJ$62:AJ$68)</f>
        <v>ASSY-TR-X-4.5-NG</v>
      </c>
      <c r="AK30" s="507" t="str">
        <f>_xlfn.XLOOKUP($G30,$AG$62:$AG$68,AK$62:AK$68)</f>
        <v>ASSY-TR-X-4.5</v>
      </c>
    </row>
    <row r="31" spans="1:37" x14ac:dyDescent="0.25">
      <c r="B31" t="s">
        <v>576</v>
      </c>
      <c r="C31" s="254">
        <v>28.831</v>
      </c>
      <c r="D31" s="254">
        <v>38.35</v>
      </c>
      <c r="E31" s="90"/>
      <c r="F31" s="272"/>
      <c r="G31" s="836">
        <f t="shared" ref="G31:G32" si="13">G30</f>
        <v>3</v>
      </c>
      <c r="H31" s="891">
        <f t="shared" si="12"/>
        <v>22</v>
      </c>
      <c r="I31" s="891">
        <f t="shared" si="12"/>
        <v>24</v>
      </c>
      <c r="K31" s="18" t="s">
        <v>209</v>
      </c>
      <c r="M31" s="296">
        <v>87.75</v>
      </c>
      <c r="N31" s="296">
        <v>110</v>
      </c>
      <c r="O31" s="569">
        <f t="shared" si="5"/>
        <v>0.25356125356125359</v>
      </c>
      <c r="P31" s="296"/>
      <c r="Q31" s="296">
        <v>83.75</v>
      </c>
      <c r="R31" s="529">
        <f t="shared" si="6"/>
        <v>105</v>
      </c>
      <c r="S31" s="569">
        <f t="shared" si="7"/>
        <v>0.2537313432835821</v>
      </c>
      <c r="T31" s="95"/>
      <c r="U31" s="107" t="str">
        <f>_xlfn.CONCAT(TEXT($C31,"0.00#")," - ",TEXT($D31,"0.00#"),"mm")</f>
        <v>28.831 - 38.35mm</v>
      </c>
      <c r="V31" s="108"/>
      <c r="W31" s="259">
        <v>38.1</v>
      </c>
      <c r="X31" s="259">
        <v>19</v>
      </c>
      <c r="Y31" s="104" t="s">
        <v>209</v>
      </c>
      <c r="Z31" s="105">
        <f t="shared" si="0"/>
        <v>110</v>
      </c>
      <c r="AA31" s="105">
        <f t="shared" si="8"/>
        <v>105</v>
      </c>
      <c r="AB31" s="105">
        <f t="shared" si="1"/>
        <v>160</v>
      </c>
      <c r="AC31" s="105">
        <f t="shared" si="2"/>
        <v>150</v>
      </c>
      <c r="AD31" s="106">
        <f t="shared" si="3"/>
        <v>285</v>
      </c>
      <c r="AF31" s="107" t="str">
        <f>_xlfn.CONCAT(TEXT($C31,"0.00#")," - ",TEXT($D31,"0.00#"),"mm")</f>
        <v>28.831 - 38.35mm</v>
      </c>
      <c r="AG31" s="1311"/>
      <c r="AH31" s="104" t="s">
        <v>209</v>
      </c>
      <c r="AI31" s="11" t="str">
        <f>_xlfn.XLOOKUP($G31,$AG$70:$AG$76,AI$70:AI$76)</f>
        <v>ASSY-TR-Y-4.5-GO</v>
      </c>
      <c r="AJ31" s="104" t="str">
        <f>_xlfn.XLOOKUP($G31,$AG$70:$AG$76,AJ$70:AJ$76)</f>
        <v>ASSY-TR-Y-4.5-NG</v>
      </c>
      <c r="AK31" s="507" t="str">
        <f>_xlfn.XLOOKUP($G31,$AG$70:$AG$76,AK$70:AK$76)</f>
        <v>ASSY-TR-Y-4.5</v>
      </c>
    </row>
    <row r="32" spans="1:37" x14ac:dyDescent="0.25">
      <c r="B32" s="265"/>
      <c r="C32" s="266"/>
      <c r="D32" s="266"/>
      <c r="E32" s="90"/>
      <c r="F32" s="892"/>
      <c r="G32" s="837">
        <f t="shared" si="13"/>
        <v>3</v>
      </c>
      <c r="H32" s="893">
        <f t="shared" si="12"/>
        <v>22</v>
      </c>
      <c r="I32" s="893">
        <f t="shared" si="12"/>
        <v>24</v>
      </c>
      <c r="K32" s="889" t="s">
        <v>196</v>
      </c>
      <c r="M32" s="530">
        <v>74.25</v>
      </c>
      <c r="N32" s="530">
        <v>95</v>
      </c>
      <c r="O32" s="570">
        <f t="shared" si="5"/>
        <v>0.27946127946127947</v>
      </c>
      <c r="P32" s="296"/>
      <c r="Q32" s="530">
        <v>66.25</v>
      </c>
      <c r="R32" s="555">
        <f t="shared" si="6"/>
        <v>85</v>
      </c>
      <c r="S32" s="570">
        <f t="shared" si="7"/>
        <v>0.28301886792452829</v>
      </c>
      <c r="T32" s="95"/>
      <c r="U32" s="102"/>
      <c r="W32" s="109"/>
      <c r="X32" s="110"/>
      <c r="Y32" s="104" t="s">
        <v>196</v>
      </c>
      <c r="Z32" s="105">
        <f t="shared" si="0"/>
        <v>95</v>
      </c>
      <c r="AA32" s="105">
        <f t="shared" si="8"/>
        <v>85</v>
      </c>
      <c r="AB32" s="105">
        <f t="shared" si="1"/>
        <v>140</v>
      </c>
      <c r="AC32" s="105">
        <f t="shared" si="2"/>
        <v>130</v>
      </c>
      <c r="AD32" s="106">
        <f t="shared" si="3"/>
        <v>245</v>
      </c>
      <c r="AF32" s="102"/>
      <c r="AG32" s="1311"/>
      <c r="AH32" s="104" t="s">
        <v>196</v>
      </c>
      <c r="AI32" s="11" t="str">
        <f>_xlfn.XLOOKUP($G32,$AG$78:$AG$84,AI$78:AI$84)</f>
        <v>ASSY-TR-Z-4.5-GO</v>
      </c>
      <c r="AJ32" s="104" t="str">
        <f>_xlfn.XLOOKUP($G32,$AG$78:$AG$84,AJ$78:AJ$84)</f>
        <v>ASSY-TR-Z-4.5-NG</v>
      </c>
      <c r="AK32" s="507" t="str">
        <f>_xlfn.XLOOKUP($G32,$AG$78:$AG$84,AK$78:AK$84)</f>
        <v>ASSY-TR-Z-4.5</v>
      </c>
    </row>
    <row r="33" spans="2:37" x14ac:dyDescent="0.25">
      <c r="F33" s="261">
        <v>5.5</v>
      </c>
      <c r="G33" s="261">
        <v>4</v>
      </c>
      <c r="H33" s="894">
        <f>INDEX($H$12:$I$17,MATCH($F33,$F$12:$F$17,0),MATCH(H$20,$H$11:$I$11,0))</f>
        <v>24</v>
      </c>
      <c r="I33" s="894">
        <f>INDEX($H$12:$I$17,MATCH($F33,$F$12:$F$17,0),MATCH(I$20,$H$11:$I$11,0))</f>
        <v>26</v>
      </c>
      <c r="K33" s="18" t="s">
        <v>198</v>
      </c>
      <c r="M33" s="296">
        <v>183.75</v>
      </c>
      <c r="N33" s="296">
        <v>210</v>
      </c>
      <c r="O33" s="569">
        <f t="shared" si="5"/>
        <v>0.14285714285714285</v>
      </c>
      <c r="P33" s="296"/>
      <c r="Q33" s="296">
        <v>174.25</v>
      </c>
      <c r="R33" s="529">
        <f t="shared" si="6"/>
        <v>200</v>
      </c>
      <c r="S33" s="569">
        <f t="shared" si="7"/>
        <v>0.14777618364418937</v>
      </c>
      <c r="T33" s="95"/>
      <c r="U33" s="931"/>
      <c r="V33" s="945"/>
      <c r="W33" s="946"/>
      <c r="X33" s="947"/>
      <c r="Y33" s="948" t="s">
        <v>198</v>
      </c>
      <c r="Z33" s="949">
        <f t="shared" si="0"/>
        <v>210</v>
      </c>
      <c r="AA33" s="949">
        <f t="shared" si="8"/>
        <v>200</v>
      </c>
      <c r="AB33" s="949">
        <f t="shared" si="1"/>
        <v>280</v>
      </c>
      <c r="AC33" s="949">
        <f t="shared" si="2"/>
        <v>270</v>
      </c>
      <c r="AD33" s="534">
        <f t="shared" si="3"/>
        <v>525</v>
      </c>
      <c r="AF33" s="931"/>
      <c r="AG33" s="1312" t="s">
        <v>469</v>
      </c>
      <c r="AH33" s="948" t="s">
        <v>198</v>
      </c>
      <c r="AI33" s="953" t="str">
        <f>_xlfn.XLOOKUP($G33,$AG$54:$AG$60,AI$54:AI$60)</f>
        <v>ASSY-TR-XX-5.5-GO</v>
      </c>
      <c r="AJ33" s="948" t="str">
        <f>_xlfn.XLOOKUP($G33,$AG$54:$AG$60,AJ$54:AJ$60)</f>
        <v>ASSY-TR-XX-5.5-NG</v>
      </c>
      <c r="AK33" s="954" t="str">
        <f>_xlfn.XLOOKUP($G33,$AG$54:$AG$60,AK$54:AK$60)</f>
        <v>ASSY-TR-XX-5.5</v>
      </c>
    </row>
    <row r="34" spans="2:37" x14ac:dyDescent="0.25">
      <c r="B34" t="s">
        <v>6</v>
      </c>
      <c r="C34" s="93">
        <v>1.5101</v>
      </c>
      <c r="D34" s="93">
        <v>2.0099999999999998</v>
      </c>
      <c r="E34" s="90"/>
      <c r="F34" s="272"/>
      <c r="G34" s="836">
        <f>G33</f>
        <v>4</v>
      </c>
      <c r="H34" s="891">
        <f t="shared" ref="H34:I36" si="14">H33</f>
        <v>24</v>
      </c>
      <c r="I34" s="891">
        <f t="shared" si="14"/>
        <v>26</v>
      </c>
      <c r="K34" s="18" t="s">
        <v>197</v>
      </c>
      <c r="M34" s="296">
        <v>146</v>
      </c>
      <c r="N34" s="296">
        <v>170</v>
      </c>
      <c r="O34" s="569">
        <f t="shared" si="5"/>
        <v>0.16438356164383561</v>
      </c>
      <c r="P34" s="296"/>
      <c r="Q34" s="296">
        <v>139.25</v>
      </c>
      <c r="R34" s="529">
        <f t="shared" si="6"/>
        <v>160</v>
      </c>
      <c r="S34" s="569">
        <f t="shared" si="7"/>
        <v>0.1490125673249551</v>
      </c>
      <c r="T34" s="95"/>
      <c r="U34" s="114" t="str">
        <f>_xlfn.CONCAT(TEXT($C34,"#.0000"),""""," - ",TEXT($D34,"#.000#"),"""")</f>
        <v>1.5101" - 2.010"</v>
      </c>
      <c r="V34" s="877"/>
      <c r="W34" s="256">
        <v>1.875</v>
      </c>
      <c r="X34" s="256">
        <v>0.875</v>
      </c>
      <c r="Y34" s="116" t="s">
        <v>197</v>
      </c>
      <c r="Z34" s="115">
        <f t="shared" si="0"/>
        <v>170</v>
      </c>
      <c r="AA34" s="115">
        <f t="shared" si="8"/>
        <v>160</v>
      </c>
      <c r="AB34" s="115">
        <f t="shared" si="1"/>
        <v>235</v>
      </c>
      <c r="AC34" s="115">
        <f t="shared" si="2"/>
        <v>220</v>
      </c>
      <c r="AD34" s="117">
        <f t="shared" si="3"/>
        <v>425</v>
      </c>
      <c r="AF34" s="114" t="str">
        <f>_xlfn.CONCAT(TEXT($C34,"#.0000"),""""," - ",TEXT($D34,"#.000#"),"""")</f>
        <v>1.5101" - 2.010"</v>
      </c>
      <c r="AG34" s="1313"/>
      <c r="AH34" s="116" t="s">
        <v>197</v>
      </c>
      <c r="AI34" s="878" t="str">
        <f>_xlfn.XLOOKUP($G34,$AG$62:$AG$68,AI$62:AI$68)</f>
        <v>ASSY-TR-X-5.5-GO</v>
      </c>
      <c r="AJ34" s="116" t="str">
        <f>_xlfn.XLOOKUP($G34,$AG$62:$AG$68,AJ$62:AJ$68)</f>
        <v>ASSY-TR-X-5.5-NG</v>
      </c>
      <c r="AK34" s="881" t="str">
        <f>_xlfn.XLOOKUP($G34,$AG$62:$AG$68,AK$62:AK$68)</f>
        <v>ASSY-TR-X-5.5</v>
      </c>
    </row>
    <row r="35" spans="2:37" x14ac:dyDescent="0.25">
      <c r="B35" t="s">
        <v>576</v>
      </c>
      <c r="C35" s="254">
        <v>38.350999999999999</v>
      </c>
      <c r="D35" s="254">
        <v>51.05</v>
      </c>
      <c r="E35" s="90"/>
      <c r="F35" s="272"/>
      <c r="G35" s="836">
        <f t="shared" ref="G35:G36" si="15">G34</f>
        <v>4</v>
      </c>
      <c r="H35" s="891">
        <f t="shared" si="14"/>
        <v>24</v>
      </c>
      <c r="I35" s="891">
        <f t="shared" si="14"/>
        <v>26</v>
      </c>
      <c r="K35" s="18" t="s">
        <v>209</v>
      </c>
      <c r="M35" s="296">
        <v>124.25</v>
      </c>
      <c r="N35" s="296">
        <v>145</v>
      </c>
      <c r="O35" s="569">
        <f t="shared" si="5"/>
        <v>0.16700201207243462</v>
      </c>
      <c r="P35" s="296"/>
      <c r="Q35" s="296">
        <v>116.25</v>
      </c>
      <c r="R35" s="529">
        <f t="shared" si="6"/>
        <v>135</v>
      </c>
      <c r="S35" s="569">
        <f t="shared" si="7"/>
        <v>0.16129032258064516</v>
      </c>
      <c r="T35" s="95"/>
      <c r="U35" s="114" t="str">
        <f>_xlfn.CONCAT(TEXT($C35,"0.00#")," - ",TEXT($D35,"0.00#"),"mm")</f>
        <v>38.351 - 51.05mm</v>
      </c>
      <c r="V35" s="877"/>
      <c r="W35" s="255">
        <v>47.6</v>
      </c>
      <c r="X35" s="255">
        <v>22.2</v>
      </c>
      <c r="Y35" s="116" t="s">
        <v>209</v>
      </c>
      <c r="Z35" s="115">
        <f t="shared" si="0"/>
        <v>145</v>
      </c>
      <c r="AA35" s="115">
        <f t="shared" si="8"/>
        <v>135</v>
      </c>
      <c r="AB35" s="115">
        <f t="shared" si="1"/>
        <v>205</v>
      </c>
      <c r="AC35" s="115">
        <f t="shared" si="2"/>
        <v>190</v>
      </c>
      <c r="AD35" s="117">
        <f t="shared" si="3"/>
        <v>365</v>
      </c>
      <c r="AF35" s="114" t="str">
        <f>_xlfn.CONCAT(TEXT($C35,"0.00#")," - ",TEXT($D35,"0.00#"),"mm")</f>
        <v>38.351 - 51.05mm</v>
      </c>
      <c r="AG35" s="1313"/>
      <c r="AH35" s="116" t="s">
        <v>209</v>
      </c>
      <c r="AI35" s="878" t="str">
        <f>_xlfn.XLOOKUP($G35,$AG$70:$AG$76,AI$70:AI$76)</f>
        <v>ASSY-TR-Y-5.5-GO</v>
      </c>
      <c r="AJ35" s="116" t="str">
        <f>_xlfn.XLOOKUP($G35,$AG$70:$AG$76,AJ$70:AJ$76)</f>
        <v>ASSY-TR-Y-5.5-NG</v>
      </c>
      <c r="AK35" s="881" t="str">
        <f>_xlfn.XLOOKUP($G35,$AG$70:$AG$76,AK$70:AK$76)</f>
        <v>ASSY-TR-Y-5.5</v>
      </c>
    </row>
    <row r="36" spans="2:37" x14ac:dyDescent="0.25">
      <c r="B36" s="265"/>
      <c r="C36" s="266"/>
      <c r="D36" s="266"/>
      <c r="E36" s="90"/>
      <c r="F36" s="892"/>
      <c r="G36" s="837">
        <f t="shared" si="15"/>
        <v>4</v>
      </c>
      <c r="H36" s="893">
        <f t="shared" si="14"/>
        <v>24</v>
      </c>
      <c r="I36" s="893">
        <f t="shared" si="14"/>
        <v>26</v>
      </c>
      <c r="K36" s="889" t="s">
        <v>196</v>
      </c>
      <c r="M36" s="530">
        <v>112.25</v>
      </c>
      <c r="N36" s="530">
        <v>130</v>
      </c>
      <c r="O36" s="570">
        <f t="shared" si="5"/>
        <v>0.15812917594654788</v>
      </c>
      <c r="P36" s="296"/>
      <c r="Q36" s="530">
        <v>101.25</v>
      </c>
      <c r="R36" s="555">
        <f t="shared" si="6"/>
        <v>115</v>
      </c>
      <c r="S36" s="570">
        <f t="shared" si="7"/>
        <v>0.13580246913580246</v>
      </c>
      <c r="T36" s="95"/>
      <c r="U36" s="935"/>
      <c r="V36" s="939"/>
      <c r="W36" s="940"/>
      <c r="X36" s="941"/>
      <c r="Y36" s="942" t="s">
        <v>196</v>
      </c>
      <c r="Z36" s="943">
        <f t="shared" si="0"/>
        <v>130</v>
      </c>
      <c r="AA36" s="943">
        <f t="shared" si="8"/>
        <v>115</v>
      </c>
      <c r="AB36" s="943">
        <f t="shared" si="1"/>
        <v>185</v>
      </c>
      <c r="AC36" s="943">
        <f t="shared" si="2"/>
        <v>165</v>
      </c>
      <c r="AD36" s="944">
        <f t="shared" si="3"/>
        <v>325</v>
      </c>
      <c r="AF36" s="935"/>
      <c r="AG36" s="1314"/>
      <c r="AH36" s="942" t="s">
        <v>196</v>
      </c>
      <c r="AI36" s="955" t="str">
        <f>_xlfn.XLOOKUP($G36,$AG$78:$AG$84,AI$78:AI$84)</f>
        <v>ASSY-TR-Z-5.5-GO</v>
      </c>
      <c r="AJ36" s="942" t="str">
        <f>_xlfn.XLOOKUP($G36,$AG$78:$AG$84,AJ$78:AJ$84)</f>
        <v>ASSY-TR-Z-5.5-NG</v>
      </c>
      <c r="AK36" s="956" t="str">
        <f>_xlfn.XLOOKUP($G36,$AG$78:$AG$84,AK$78:AK$84)</f>
        <v>ASSY-TR-Z-5.5</v>
      </c>
    </row>
    <row r="37" spans="2:37" x14ac:dyDescent="0.25">
      <c r="F37" s="261">
        <v>6</v>
      </c>
      <c r="G37" s="261">
        <v>5</v>
      </c>
      <c r="H37" s="894">
        <f>INDEX($H$12:$I$17,MATCH($F37,$F$12:$F$17,0),MATCH(H$20,$H$11:$I$11,0))</f>
        <v>28</v>
      </c>
      <c r="I37" s="894">
        <f>INDEX($H$12:$I$17,MATCH($F37,$F$12:$F$17,0),MATCH(I$20,$H$11:$I$11,0))</f>
        <v>30</v>
      </c>
      <c r="K37" s="18" t="s">
        <v>198</v>
      </c>
      <c r="M37" s="296">
        <v>202.5</v>
      </c>
      <c r="N37" s="296">
        <v>240</v>
      </c>
      <c r="O37" s="569">
        <f t="shared" si="5"/>
        <v>0.18518518518518517</v>
      </c>
      <c r="P37" s="296"/>
      <c r="Q37" s="296">
        <v>193.25</v>
      </c>
      <c r="R37" s="529">
        <f t="shared" si="6"/>
        <v>230</v>
      </c>
      <c r="S37" s="569">
        <f t="shared" si="7"/>
        <v>0.19016817593790428</v>
      </c>
      <c r="T37" s="95"/>
      <c r="U37" s="102"/>
      <c r="W37" s="109"/>
      <c r="X37" s="110"/>
      <c r="Y37" s="104" t="s">
        <v>198</v>
      </c>
      <c r="Z37" s="105">
        <f t="shared" si="0"/>
        <v>240</v>
      </c>
      <c r="AA37" s="105">
        <f t="shared" si="8"/>
        <v>230</v>
      </c>
      <c r="AB37" s="105">
        <f t="shared" si="1"/>
        <v>320</v>
      </c>
      <c r="AC37" s="105">
        <f t="shared" si="2"/>
        <v>310</v>
      </c>
      <c r="AD37" s="106">
        <f t="shared" si="3"/>
        <v>600</v>
      </c>
      <c r="AF37" s="102"/>
      <c r="AG37" s="1315">
        <v>6</v>
      </c>
      <c r="AH37" s="104" t="s">
        <v>198</v>
      </c>
      <c r="AI37" s="11" t="str">
        <f>_xlfn.XLOOKUP($G37,$AG$54:$AG$60,AI$54:AI$60)</f>
        <v>ASSY-TR-XX-6-GO</v>
      </c>
      <c r="AJ37" s="104" t="str">
        <f>_xlfn.XLOOKUP($G37,$AG$54:$AG$60,AJ$54:AJ$60)</f>
        <v>ASSY-TR-XX-6-NG</v>
      </c>
      <c r="AK37" s="507" t="str">
        <f>_xlfn.XLOOKUP($G37,$AG$54:$AG$60,AK$54:AK$60)</f>
        <v>ASSY-TR-XX-6</v>
      </c>
    </row>
    <row r="38" spans="2:37" x14ac:dyDescent="0.25">
      <c r="B38" t="s">
        <v>6</v>
      </c>
      <c r="C38" s="93">
        <v>2.0101</v>
      </c>
      <c r="D38" s="93">
        <v>2.5099999999999998</v>
      </c>
      <c r="E38" s="90"/>
      <c r="F38" s="272"/>
      <c r="G38" s="836">
        <f>G37</f>
        <v>5</v>
      </c>
      <c r="H38" s="891">
        <f t="shared" ref="H38:I40" si="16">H37</f>
        <v>28</v>
      </c>
      <c r="I38" s="891">
        <f t="shared" si="16"/>
        <v>30</v>
      </c>
      <c r="K38" s="18" t="s">
        <v>197</v>
      </c>
      <c r="M38" s="296">
        <v>155.25</v>
      </c>
      <c r="N38" s="296">
        <v>190</v>
      </c>
      <c r="O38" s="569">
        <f t="shared" si="5"/>
        <v>0.22383252818035426</v>
      </c>
      <c r="P38" s="296"/>
      <c r="Q38" s="296">
        <v>146</v>
      </c>
      <c r="R38" s="529">
        <f t="shared" si="6"/>
        <v>180</v>
      </c>
      <c r="S38" s="569">
        <f t="shared" si="7"/>
        <v>0.23287671232876711</v>
      </c>
      <c r="T38" s="95"/>
      <c r="U38" s="107" t="str">
        <f>_xlfn.CONCAT(TEXT($C38,"#.0000"),""""," - ",TEXT($D38,"#.000#"),"""")</f>
        <v>2.0101" - 2.510"</v>
      </c>
      <c r="V38" s="108"/>
      <c r="W38" s="257">
        <v>2</v>
      </c>
      <c r="X38" s="253">
        <v>0.875</v>
      </c>
      <c r="Y38" s="104" t="s">
        <v>197</v>
      </c>
      <c r="Z38" s="105">
        <f t="shared" si="0"/>
        <v>190</v>
      </c>
      <c r="AA38" s="105">
        <f t="shared" si="8"/>
        <v>180</v>
      </c>
      <c r="AB38" s="105">
        <f t="shared" si="1"/>
        <v>260</v>
      </c>
      <c r="AC38" s="105">
        <f t="shared" si="2"/>
        <v>250</v>
      </c>
      <c r="AD38" s="106">
        <f t="shared" si="3"/>
        <v>480</v>
      </c>
      <c r="AF38" s="107" t="str">
        <f>_xlfn.CONCAT(TEXT($C38,"#.0000"),""""," - ",TEXT($D38,"#.000#"),"""")</f>
        <v>2.0101" - 2.510"</v>
      </c>
      <c r="AG38" s="1315"/>
      <c r="AH38" s="104" t="s">
        <v>197</v>
      </c>
      <c r="AI38" s="11" t="str">
        <f>_xlfn.XLOOKUP($G38,$AG$62:$AG$68,AI$62:AI$68)</f>
        <v>ASSY-TR-X-6-GO</v>
      </c>
      <c r="AJ38" s="104" t="str">
        <f>_xlfn.XLOOKUP($G38,$AG$62:$AG$68,AJ$62:AJ$68)</f>
        <v>ASSY-TR-X-6-NG</v>
      </c>
      <c r="AK38" s="507" t="str">
        <f>_xlfn.XLOOKUP($G38,$AG$62:$AG$68,AK$62:AK$68)</f>
        <v>ASSY-TR-X-6</v>
      </c>
    </row>
    <row r="39" spans="2:37" x14ac:dyDescent="0.25">
      <c r="B39" t="s">
        <v>576</v>
      </c>
      <c r="C39" s="254">
        <v>51.051000000000002</v>
      </c>
      <c r="D39" s="254">
        <v>63.75</v>
      </c>
      <c r="E39" s="90"/>
      <c r="F39" s="272"/>
      <c r="G39" s="836">
        <f t="shared" ref="G39:G40" si="17">G38</f>
        <v>5</v>
      </c>
      <c r="H39" s="891">
        <f t="shared" si="16"/>
        <v>28</v>
      </c>
      <c r="I39" s="891">
        <f t="shared" si="16"/>
        <v>30</v>
      </c>
      <c r="K39" s="18" t="s">
        <v>209</v>
      </c>
      <c r="M39" s="296">
        <v>147.25</v>
      </c>
      <c r="N39" s="296">
        <v>170</v>
      </c>
      <c r="O39" s="569">
        <f t="shared" si="5"/>
        <v>0.15449915110356535</v>
      </c>
      <c r="P39" s="296"/>
      <c r="Q39" s="296">
        <v>136.5</v>
      </c>
      <c r="R39" s="529">
        <f t="shared" si="6"/>
        <v>160</v>
      </c>
      <c r="S39" s="569">
        <f t="shared" si="7"/>
        <v>0.17216117216117216</v>
      </c>
      <c r="T39" s="95"/>
      <c r="U39" s="107" t="str">
        <f>_xlfn.CONCAT(TEXT($C39,"0.00#")," - ",TEXT($D39,"0.00#"),"mm")</f>
        <v>51.051 - 63.75mm</v>
      </c>
      <c r="V39" s="108"/>
      <c r="W39" s="259">
        <v>50.8</v>
      </c>
      <c r="X39" s="259">
        <v>22.2</v>
      </c>
      <c r="Y39" s="104" t="s">
        <v>209</v>
      </c>
      <c r="Z39" s="105">
        <f t="shared" si="0"/>
        <v>170</v>
      </c>
      <c r="AA39" s="105">
        <f t="shared" si="8"/>
        <v>160</v>
      </c>
      <c r="AB39" s="105">
        <f t="shared" si="1"/>
        <v>240</v>
      </c>
      <c r="AC39" s="105">
        <f t="shared" si="2"/>
        <v>225</v>
      </c>
      <c r="AD39" s="106">
        <f t="shared" si="3"/>
        <v>430</v>
      </c>
      <c r="AF39" s="107" t="str">
        <f>_xlfn.CONCAT(TEXT($C39,"0.00#")," - ",TEXT($D39,"0.00#"),"mm")</f>
        <v>51.051 - 63.75mm</v>
      </c>
      <c r="AG39" s="1315"/>
      <c r="AH39" s="104" t="s">
        <v>209</v>
      </c>
      <c r="AI39" s="11" t="str">
        <f>_xlfn.XLOOKUP($G39,$AG$70:$AG$76,AI$70:AI$76)</f>
        <v>ASSY-TR-Y-6-GO</v>
      </c>
      <c r="AJ39" s="104" t="str">
        <f>_xlfn.XLOOKUP($G39,$AG$70:$AG$76,AJ$70:AJ$76)</f>
        <v>ASSY-TR-Y-6-NG</v>
      </c>
      <c r="AK39" s="507" t="str">
        <f>_xlfn.XLOOKUP($G39,$AG$70:$AG$76,AK$70:AK$76)</f>
        <v>ASSY-TR-Y-6</v>
      </c>
    </row>
    <row r="40" spans="2:37" x14ac:dyDescent="0.25">
      <c r="B40" s="265"/>
      <c r="C40" s="266"/>
      <c r="D40" s="266"/>
      <c r="E40" s="90"/>
      <c r="F40" s="892"/>
      <c r="G40" s="837">
        <f t="shared" si="17"/>
        <v>5</v>
      </c>
      <c r="H40" s="893">
        <f t="shared" si="16"/>
        <v>28</v>
      </c>
      <c r="I40" s="893">
        <f t="shared" si="16"/>
        <v>30</v>
      </c>
      <c r="K40" s="889" t="s">
        <v>196</v>
      </c>
      <c r="M40" s="530">
        <v>133.75</v>
      </c>
      <c r="N40" s="530">
        <v>155</v>
      </c>
      <c r="O40" s="570">
        <f t="shared" si="5"/>
        <v>0.15887850467289719</v>
      </c>
      <c r="P40" s="296"/>
      <c r="Q40" s="530">
        <v>124.25</v>
      </c>
      <c r="R40" s="555">
        <f t="shared" si="6"/>
        <v>145</v>
      </c>
      <c r="S40" s="570">
        <f t="shared" si="7"/>
        <v>0.16700201207243462</v>
      </c>
      <c r="T40" s="95"/>
      <c r="U40" s="102"/>
      <c r="W40" s="109"/>
      <c r="X40" s="109"/>
      <c r="Y40" s="104" t="s">
        <v>196</v>
      </c>
      <c r="Z40" s="105">
        <f t="shared" si="0"/>
        <v>155</v>
      </c>
      <c r="AA40" s="105">
        <f t="shared" si="8"/>
        <v>145</v>
      </c>
      <c r="AB40" s="105">
        <f t="shared" si="1"/>
        <v>220</v>
      </c>
      <c r="AC40" s="105">
        <f t="shared" si="2"/>
        <v>210</v>
      </c>
      <c r="AD40" s="106">
        <f t="shared" si="3"/>
        <v>395</v>
      </c>
      <c r="AF40" s="102"/>
      <c r="AG40" s="1315"/>
      <c r="AH40" s="104" t="s">
        <v>196</v>
      </c>
      <c r="AI40" s="11" t="str">
        <f>_xlfn.XLOOKUP($G40,$AG$78:$AG$84,AI$78:AI$84)</f>
        <v>ASSY-TR-Z-6-GO</v>
      </c>
      <c r="AJ40" s="104" t="str">
        <f>_xlfn.XLOOKUP($G40,$AG$78:$AG$84,AJ$78:AJ$84)</f>
        <v>ASSY-TR-Z-6-NG</v>
      </c>
      <c r="AK40" s="507" t="str">
        <f>_xlfn.XLOOKUP($G40,$AG$78:$AG$84,AK$78:AK$84)</f>
        <v>ASSY-TR-Z-6</v>
      </c>
    </row>
    <row r="41" spans="2:37" x14ac:dyDescent="0.25">
      <c r="C41" s="90"/>
      <c r="D41" s="90"/>
      <c r="F41" s="261">
        <v>7</v>
      </c>
      <c r="G41" s="261">
        <v>6</v>
      </c>
      <c r="H41" s="894">
        <f>INDEX($H$12:$I$17,MATCH($F41,$F$12:$F$17,0),MATCH(H$20,$H$11:$I$11,0))</f>
        <v>30</v>
      </c>
      <c r="I41" s="894">
        <f>INDEX($H$12:$I$17,MATCH($F41,$F$12:$F$17,0),MATCH(I$20,$H$11:$I$11,0))</f>
        <v>34</v>
      </c>
      <c r="K41" s="18" t="s">
        <v>198</v>
      </c>
      <c r="M41" s="296">
        <v>248.5</v>
      </c>
      <c r="N41" s="296">
        <v>285</v>
      </c>
      <c r="O41" s="569">
        <f t="shared" si="5"/>
        <v>0.14688128772635814</v>
      </c>
      <c r="P41" s="296"/>
      <c r="Q41" s="296">
        <v>229.5</v>
      </c>
      <c r="R41" s="529">
        <f t="shared" si="6"/>
        <v>265</v>
      </c>
      <c r="S41" s="569">
        <f t="shared" si="7"/>
        <v>0.15468409586056645</v>
      </c>
      <c r="T41" s="95"/>
      <c r="U41" s="931"/>
      <c r="V41" s="945"/>
      <c r="W41" s="946"/>
      <c r="X41" s="947"/>
      <c r="Y41" s="948" t="s">
        <v>198</v>
      </c>
      <c r="Z41" s="949">
        <f t="shared" si="0"/>
        <v>285</v>
      </c>
      <c r="AA41" s="949">
        <f t="shared" si="8"/>
        <v>265</v>
      </c>
      <c r="AB41" s="949">
        <f t="shared" si="1"/>
        <v>380</v>
      </c>
      <c r="AC41" s="949">
        <f t="shared" si="2"/>
        <v>355</v>
      </c>
      <c r="AD41" s="534">
        <f t="shared" si="3"/>
        <v>700</v>
      </c>
      <c r="AF41" s="931"/>
      <c r="AG41" s="1316">
        <v>7</v>
      </c>
      <c r="AH41" s="948" t="s">
        <v>198</v>
      </c>
      <c r="AI41" s="953" t="str">
        <f>_xlfn.XLOOKUP($G41,$AG$54:$AG$60,AI$54:AI$60)</f>
        <v>ASSY-TR-XX-7A-GO</v>
      </c>
      <c r="AJ41" s="948" t="str">
        <f>_xlfn.XLOOKUP($G41,$AG$54:$AG$60,AJ$54:AJ$60)</f>
        <v>ASSY-TR-XX-7A-NG</v>
      </c>
      <c r="AK41" s="954" t="str">
        <f>_xlfn.XLOOKUP($G41,$AG$54:$AG$60,AK$54:AK$60)</f>
        <v>ASSY-TR-XX-7A</v>
      </c>
    </row>
    <row r="42" spans="2:37" x14ac:dyDescent="0.25">
      <c r="B42" t="s">
        <v>6</v>
      </c>
      <c r="C42" s="93">
        <v>2.5101</v>
      </c>
      <c r="D42" s="93">
        <v>3.01</v>
      </c>
      <c r="F42" s="72"/>
      <c r="G42" s="836">
        <f>G41</f>
        <v>6</v>
      </c>
      <c r="H42" s="891">
        <f t="shared" ref="H42:I44" si="18">H41</f>
        <v>30</v>
      </c>
      <c r="I42" s="891">
        <f t="shared" si="18"/>
        <v>34</v>
      </c>
      <c r="K42" s="18" t="s">
        <v>197</v>
      </c>
      <c r="M42" s="296">
        <v>186.5</v>
      </c>
      <c r="N42" s="296">
        <v>235</v>
      </c>
      <c r="O42" s="569">
        <f t="shared" si="5"/>
        <v>0.26005361930294907</v>
      </c>
      <c r="P42" s="296"/>
      <c r="Q42" s="296">
        <v>170.25</v>
      </c>
      <c r="R42" s="529">
        <f t="shared" si="6"/>
        <v>215</v>
      </c>
      <c r="S42" s="569">
        <f t="shared" si="7"/>
        <v>0.26284875183553597</v>
      </c>
      <c r="T42" s="95"/>
      <c r="U42" s="114" t="str">
        <f>_xlfn.CONCAT(TEXT($C42,"#.0000"),""""," - ",TEXT($D42,"#.000#"),"""")</f>
        <v>2.5101" - 3.010"</v>
      </c>
      <c r="V42" s="877"/>
      <c r="W42" s="258">
        <v>2</v>
      </c>
      <c r="X42" s="258">
        <v>1</v>
      </c>
      <c r="Y42" s="116" t="s">
        <v>197</v>
      </c>
      <c r="Z42" s="115">
        <f t="shared" si="0"/>
        <v>235</v>
      </c>
      <c r="AA42" s="115">
        <f t="shared" si="8"/>
        <v>215</v>
      </c>
      <c r="AB42" s="115">
        <f t="shared" si="1"/>
        <v>320</v>
      </c>
      <c r="AC42" s="115">
        <f t="shared" si="2"/>
        <v>295</v>
      </c>
      <c r="AD42" s="117">
        <f t="shared" si="3"/>
        <v>580</v>
      </c>
      <c r="AF42" s="114" t="str">
        <f>_xlfn.CONCAT(TEXT($C42,"#.0000"),""""," - ",TEXT($D42,"#.000#"),"""")</f>
        <v>2.5101" - 3.010"</v>
      </c>
      <c r="AG42" s="1317"/>
      <c r="AH42" s="116" t="s">
        <v>197</v>
      </c>
      <c r="AI42" s="878" t="str">
        <f>_xlfn.XLOOKUP($G42,$AG$62:$AG$68,AI$62:AI$68)</f>
        <v>ASSY-TR-X-7A-GO</v>
      </c>
      <c r="AJ42" s="116" t="str">
        <f>_xlfn.XLOOKUP($G42,$AG$62:$AG$68,AJ$62:AJ$68)</f>
        <v>ASSY-TR-X-7A-NG</v>
      </c>
      <c r="AK42" s="881" t="str">
        <f>_xlfn.XLOOKUP($G42,$AG$62:$AG$68,AK$62:AK$68)</f>
        <v>ASSY-TR-X-7A</v>
      </c>
    </row>
    <row r="43" spans="2:37" x14ac:dyDescent="0.25">
      <c r="B43" t="s">
        <v>576</v>
      </c>
      <c r="C43" s="254">
        <v>63.750999999999998</v>
      </c>
      <c r="D43" s="254">
        <v>76.45</v>
      </c>
      <c r="F43" s="72"/>
      <c r="G43" s="836">
        <f t="shared" ref="G43:G44" si="19">G42</f>
        <v>6</v>
      </c>
      <c r="H43" s="891">
        <f t="shared" si="18"/>
        <v>30</v>
      </c>
      <c r="I43" s="891">
        <f t="shared" si="18"/>
        <v>34</v>
      </c>
      <c r="K43" s="18" t="s">
        <v>209</v>
      </c>
      <c r="M43" s="296">
        <v>163.5</v>
      </c>
      <c r="N43" s="296">
        <v>215</v>
      </c>
      <c r="O43" s="569">
        <f t="shared" si="5"/>
        <v>0.3149847094801223</v>
      </c>
      <c r="P43" s="296"/>
      <c r="Q43" s="296">
        <v>144.5</v>
      </c>
      <c r="R43" s="529">
        <f t="shared" si="6"/>
        <v>190</v>
      </c>
      <c r="S43" s="569">
        <f t="shared" si="7"/>
        <v>0.31487889273356401</v>
      </c>
      <c r="T43" s="95"/>
      <c r="U43" s="114" t="str">
        <f>_xlfn.CONCAT(TEXT($C43,"0.00#")," - ",TEXT($D43,"0.00#"),"mm")</f>
        <v>63.751 - 76.45mm</v>
      </c>
      <c r="V43" s="877"/>
      <c r="W43" s="255">
        <v>50.8</v>
      </c>
      <c r="X43" s="255">
        <v>25.4</v>
      </c>
      <c r="Y43" s="116" t="s">
        <v>209</v>
      </c>
      <c r="Z43" s="115">
        <f t="shared" si="0"/>
        <v>215</v>
      </c>
      <c r="AA43" s="115">
        <f t="shared" si="8"/>
        <v>190</v>
      </c>
      <c r="AB43" s="115">
        <f t="shared" si="1"/>
        <v>295</v>
      </c>
      <c r="AC43" s="115">
        <f t="shared" si="2"/>
        <v>265</v>
      </c>
      <c r="AD43" s="117">
        <f t="shared" si="3"/>
        <v>525</v>
      </c>
      <c r="AF43" s="114" t="str">
        <f>_xlfn.CONCAT(TEXT($C43,"0.00#")," - ",TEXT($D43,"0.00#"),"mm")</f>
        <v>63.751 - 76.45mm</v>
      </c>
      <c r="AG43" s="1317"/>
      <c r="AH43" s="116" t="s">
        <v>209</v>
      </c>
      <c r="AI43" s="878" t="str">
        <f>_xlfn.XLOOKUP($G43,$AG$70:$AG$76,AI$70:AI$76)</f>
        <v>ASSY-TR-Y-7A-GO</v>
      </c>
      <c r="AJ43" s="116" t="str">
        <f>_xlfn.XLOOKUP($G43,$AG$70:$AG$76,AJ$70:AJ$76)</f>
        <v>ASSY-TR-Y-7A-NG</v>
      </c>
      <c r="AK43" s="881" t="str">
        <f>_xlfn.XLOOKUP($G43,$AG$70:$AG$76,AK$70:AK$76)</f>
        <v>ASSY-TR-Y-7A</v>
      </c>
    </row>
    <row r="44" spans="2:37" x14ac:dyDescent="0.25">
      <c r="B44" s="265"/>
      <c r="C44" s="266"/>
      <c r="D44" s="266"/>
      <c r="F44" s="263"/>
      <c r="G44" s="837">
        <f t="shared" si="19"/>
        <v>6</v>
      </c>
      <c r="H44" s="893">
        <f t="shared" si="18"/>
        <v>30</v>
      </c>
      <c r="I44" s="893">
        <f t="shared" si="18"/>
        <v>34</v>
      </c>
      <c r="K44" s="889" t="s">
        <v>196</v>
      </c>
      <c r="M44" s="530">
        <v>139.25</v>
      </c>
      <c r="N44" s="530">
        <v>185</v>
      </c>
      <c r="O44" s="570">
        <f t="shared" si="5"/>
        <v>0.32854578096947934</v>
      </c>
      <c r="P44" s="296"/>
      <c r="Q44" s="530">
        <v>124.25</v>
      </c>
      <c r="R44" s="555">
        <f t="shared" si="6"/>
        <v>165</v>
      </c>
      <c r="S44" s="570">
        <f t="shared" si="7"/>
        <v>0.32796780684104626</v>
      </c>
      <c r="T44" s="95"/>
      <c r="U44" s="935"/>
      <c r="V44" s="939"/>
      <c r="W44" s="940"/>
      <c r="X44" s="941"/>
      <c r="Y44" s="942" t="s">
        <v>196</v>
      </c>
      <c r="Z44" s="943">
        <f t="shared" si="0"/>
        <v>185</v>
      </c>
      <c r="AA44" s="943">
        <f t="shared" si="8"/>
        <v>165</v>
      </c>
      <c r="AB44" s="943">
        <f t="shared" si="1"/>
        <v>260</v>
      </c>
      <c r="AC44" s="943">
        <f t="shared" si="2"/>
        <v>235</v>
      </c>
      <c r="AD44" s="944">
        <f t="shared" si="3"/>
        <v>460</v>
      </c>
      <c r="AF44" s="935"/>
      <c r="AG44" s="1318"/>
      <c r="AH44" s="942" t="s">
        <v>196</v>
      </c>
      <c r="AI44" s="955" t="str">
        <f>_xlfn.XLOOKUP($G44,$AG$78:$AG$84,AI$78:AI$84)</f>
        <v>ASSY-TR-Z-7A-GO</v>
      </c>
      <c r="AJ44" s="942" t="str">
        <f>_xlfn.XLOOKUP($G44,$AG$78:$AG$84,AJ$78:AJ$84)</f>
        <v>ASSY-TR-Z-7A-NG</v>
      </c>
      <c r="AK44" s="956" t="str">
        <f>_xlfn.XLOOKUP($G44,$AG$78:$AG$84,AK$78:AK$84)</f>
        <v>ASSY-TR-Z-7A</v>
      </c>
    </row>
    <row r="45" spans="2:37" x14ac:dyDescent="0.25">
      <c r="C45" s="90"/>
      <c r="D45" s="90"/>
      <c r="F45" s="261">
        <v>7</v>
      </c>
      <c r="G45" s="261">
        <v>7</v>
      </c>
      <c r="H45" s="894">
        <f>INDEX($H$12:$I$17,MATCH($F45,$F$12:$F$17,0),MATCH(H$20,$H$11:$I$11,0))</f>
        <v>30</v>
      </c>
      <c r="I45" s="894">
        <f>INDEX($H$12:$I$17,MATCH($F45,$F$12:$F$17,0),MATCH(I$20,$H$11:$I$11,0))</f>
        <v>34</v>
      </c>
      <c r="K45" s="18" t="s">
        <v>198</v>
      </c>
      <c r="M45" s="296">
        <v>357.75</v>
      </c>
      <c r="N45" s="296">
        <v>360</v>
      </c>
      <c r="O45" s="569">
        <f t="shared" si="5"/>
        <v>6.2893081761006293E-3</v>
      </c>
      <c r="P45" s="296"/>
      <c r="Q45" s="296">
        <v>313.25</v>
      </c>
      <c r="R45" s="529">
        <f t="shared" si="6"/>
        <v>315</v>
      </c>
      <c r="S45" s="569">
        <f t="shared" si="7"/>
        <v>5.5865921787709499E-3</v>
      </c>
      <c r="T45" s="95"/>
      <c r="U45" s="102"/>
      <c r="W45" s="109"/>
      <c r="X45" s="110"/>
      <c r="Y45" s="104" t="s">
        <v>198</v>
      </c>
      <c r="Z45" s="105">
        <f t="shared" si="0"/>
        <v>360</v>
      </c>
      <c r="AA45" s="105">
        <f t="shared" si="8"/>
        <v>315</v>
      </c>
      <c r="AB45" s="105">
        <f t="shared" si="1"/>
        <v>470</v>
      </c>
      <c r="AC45" s="105">
        <f t="shared" si="2"/>
        <v>415</v>
      </c>
      <c r="AD45" s="106">
        <f t="shared" si="3"/>
        <v>850</v>
      </c>
      <c r="AF45" s="102"/>
      <c r="AG45" s="1315">
        <v>7</v>
      </c>
      <c r="AH45" s="104" t="s">
        <v>198</v>
      </c>
      <c r="AI45" s="11" t="str">
        <f>_xlfn.XLOOKUP($G45,$AG$54:$AG$60,AI$54:AI$60)</f>
        <v>ASSY-TR-XX-7B-GO</v>
      </c>
      <c r="AJ45" s="104" t="str">
        <f>_xlfn.XLOOKUP($G45,$AG$54:$AG$60,AJ$54:AJ$60)</f>
        <v>ASSY-TR-XX-7B-NG</v>
      </c>
      <c r="AK45" s="507" t="str">
        <f>_xlfn.XLOOKUP($G45,$AG$54:$AG$60,AK$54:AK$60)</f>
        <v>ASSY-TR-XX-7B</v>
      </c>
    </row>
    <row r="46" spans="2:37" x14ac:dyDescent="0.25">
      <c r="B46" t="s">
        <v>6</v>
      </c>
      <c r="C46" s="93">
        <v>3.0101</v>
      </c>
      <c r="D46" s="93">
        <v>3.51</v>
      </c>
      <c r="F46" s="72"/>
      <c r="G46" s="836">
        <f>G45</f>
        <v>7</v>
      </c>
      <c r="H46" s="891">
        <f t="shared" ref="H46:I48" si="20">H45</f>
        <v>30</v>
      </c>
      <c r="I46" s="891">
        <f t="shared" si="20"/>
        <v>34</v>
      </c>
      <c r="K46" s="18" t="s">
        <v>197</v>
      </c>
      <c r="M46" s="296">
        <v>295.75</v>
      </c>
      <c r="N46" s="296">
        <v>310</v>
      </c>
      <c r="O46" s="569">
        <f t="shared" si="5"/>
        <v>4.8182586644125107E-2</v>
      </c>
      <c r="P46" s="296"/>
      <c r="Q46" s="296">
        <v>260.75</v>
      </c>
      <c r="R46" s="529">
        <f t="shared" si="6"/>
        <v>275</v>
      </c>
      <c r="S46" s="569">
        <f t="shared" si="7"/>
        <v>5.4650047938638542E-2</v>
      </c>
      <c r="T46" s="95"/>
      <c r="U46" s="107" t="str">
        <f>_xlfn.CONCAT(TEXT($C46,"#.0000"),""""," - ",TEXT($D46,"#.000#"),"""")</f>
        <v>3.0101" - 3.510"</v>
      </c>
      <c r="V46" s="108"/>
      <c r="W46" s="257">
        <v>2</v>
      </c>
      <c r="X46" s="257">
        <v>1</v>
      </c>
      <c r="Y46" s="104" t="s">
        <v>197</v>
      </c>
      <c r="Z46" s="105">
        <f t="shared" si="0"/>
        <v>310</v>
      </c>
      <c r="AA46" s="105">
        <f t="shared" si="8"/>
        <v>275</v>
      </c>
      <c r="AB46" s="105">
        <f t="shared" si="1"/>
        <v>410</v>
      </c>
      <c r="AC46" s="105">
        <f t="shared" si="2"/>
        <v>365</v>
      </c>
      <c r="AD46" s="106">
        <f t="shared" si="3"/>
        <v>745</v>
      </c>
      <c r="AF46" s="107" t="str">
        <f>_xlfn.CONCAT(TEXT($C46,"#.0000"),""""," - ",TEXT($D46,"#.000#"),"""")</f>
        <v>3.0101" - 3.510"</v>
      </c>
      <c r="AG46" s="1315"/>
      <c r="AH46" s="104" t="s">
        <v>197</v>
      </c>
      <c r="AI46" s="11" t="str">
        <f>_xlfn.XLOOKUP($G46,$AG$62:$AG$68,AI$62:AI$68)</f>
        <v>ASSY-TR-X-7B-GO</v>
      </c>
      <c r="AJ46" s="104" t="str">
        <f>_xlfn.XLOOKUP($G46,$AG$62:$AG$68,AJ$62:AJ$68)</f>
        <v>ASSY-TR-X-7B-NG</v>
      </c>
      <c r="AK46" s="507" t="str">
        <f>_xlfn.XLOOKUP($G46,$AG$62:$AG$68,AK$62:AK$68)</f>
        <v>ASSY-TR-X-7B</v>
      </c>
    </row>
    <row r="47" spans="2:37" x14ac:dyDescent="0.25">
      <c r="B47" t="s">
        <v>576</v>
      </c>
      <c r="C47" s="254">
        <v>76.450999999999993</v>
      </c>
      <c r="D47" s="254">
        <v>89.15</v>
      </c>
      <c r="F47" s="72"/>
      <c r="G47" s="836">
        <f t="shared" ref="G47:G48" si="21">G46</f>
        <v>7</v>
      </c>
      <c r="H47" s="891">
        <f t="shared" si="20"/>
        <v>30</v>
      </c>
      <c r="I47" s="891">
        <f t="shared" si="20"/>
        <v>34</v>
      </c>
      <c r="K47" s="18" t="s">
        <v>209</v>
      </c>
      <c r="M47" s="296">
        <v>240.5</v>
      </c>
      <c r="N47" s="296">
        <v>280</v>
      </c>
      <c r="O47" s="569">
        <f t="shared" si="5"/>
        <v>0.16424116424116425</v>
      </c>
      <c r="P47" s="296"/>
      <c r="Q47" s="296">
        <v>206.75</v>
      </c>
      <c r="R47" s="529">
        <f t="shared" si="6"/>
        <v>240</v>
      </c>
      <c r="S47" s="569">
        <f t="shared" si="7"/>
        <v>0.16082224909310761</v>
      </c>
      <c r="T47" s="95"/>
      <c r="U47" s="107" t="str">
        <f>_xlfn.CONCAT(TEXT($C47,"0.00#")," - ",TEXT($D47,"0.00#"),"mm")</f>
        <v>76.451 - 89.15mm</v>
      </c>
      <c r="V47" s="108"/>
      <c r="W47" s="259">
        <v>50.8</v>
      </c>
      <c r="X47" s="259">
        <v>25.4</v>
      </c>
      <c r="Y47" s="104" t="s">
        <v>209</v>
      </c>
      <c r="Z47" s="105">
        <f t="shared" si="0"/>
        <v>280</v>
      </c>
      <c r="AA47" s="105">
        <f t="shared" si="8"/>
        <v>240</v>
      </c>
      <c r="AB47" s="105">
        <f t="shared" si="1"/>
        <v>370</v>
      </c>
      <c r="AC47" s="105">
        <f t="shared" si="2"/>
        <v>325</v>
      </c>
      <c r="AD47" s="106">
        <f t="shared" si="3"/>
        <v>665</v>
      </c>
      <c r="AF47" s="107" t="str">
        <f>_xlfn.CONCAT(TEXT($C47,"0.00#")," - ",TEXT($D47,"0.00#"),"mm")</f>
        <v>76.451 - 89.15mm</v>
      </c>
      <c r="AG47" s="1315"/>
      <c r="AH47" s="104" t="s">
        <v>209</v>
      </c>
      <c r="AI47" s="11" t="str">
        <f>_xlfn.XLOOKUP($G47,$AG$70:$AG$76,AI$70:AI$76)</f>
        <v>ASSY-TR-Y-7B-GO</v>
      </c>
      <c r="AJ47" s="104" t="str">
        <f>_xlfn.XLOOKUP($G47,$AG$70:$AG$76,AJ$70:AJ$76)</f>
        <v>ASSY-TR-Y-7B-NG</v>
      </c>
      <c r="AK47" s="507" t="str">
        <f>_xlfn.XLOOKUP($G47,$AG$70:$AG$76,AK$70:AK$76)</f>
        <v>ASSY-TR-Y-7B</v>
      </c>
    </row>
    <row r="48" spans="2:37" ht="15.75" thickBot="1" x14ac:dyDescent="0.3">
      <c r="B48" s="265"/>
      <c r="C48" s="265"/>
      <c r="D48" s="265"/>
      <c r="F48" s="263"/>
      <c r="G48" s="837">
        <f t="shared" si="21"/>
        <v>7</v>
      </c>
      <c r="H48" s="893">
        <f t="shared" si="20"/>
        <v>30</v>
      </c>
      <c r="I48" s="893">
        <f t="shared" si="20"/>
        <v>34</v>
      </c>
      <c r="K48" s="889" t="s">
        <v>196</v>
      </c>
      <c r="M48" s="530">
        <v>213.5</v>
      </c>
      <c r="N48" s="530">
        <v>250</v>
      </c>
      <c r="O48" s="570">
        <f t="shared" si="5"/>
        <v>0.17096018735362997</v>
      </c>
      <c r="P48" s="296"/>
      <c r="Q48" s="530">
        <v>179.75</v>
      </c>
      <c r="R48" s="555">
        <f t="shared" si="6"/>
        <v>210</v>
      </c>
      <c r="S48" s="570">
        <f t="shared" si="7"/>
        <v>0.16828929068150209</v>
      </c>
      <c r="U48" s="120"/>
      <c r="V48" s="121"/>
      <c r="W48" s="122"/>
      <c r="X48" s="122"/>
      <c r="Y48" s="123" t="s">
        <v>196</v>
      </c>
      <c r="Z48" s="124">
        <f t="shared" si="0"/>
        <v>250</v>
      </c>
      <c r="AA48" s="124">
        <f t="shared" si="8"/>
        <v>210</v>
      </c>
      <c r="AB48" s="124">
        <f t="shared" si="1"/>
        <v>335</v>
      </c>
      <c r="AC48" s="124">
        <f t="shared" si="2"/>
        <v>290</v>
      </c>
      <c r="AD48" s="125">
        <f t="shared" si="3"/>
        <v>595</v>
      </c>
      <c r="AF48" s="135"/>
      <c r="AG48" s="1319"/>
      <c r="AH48" s="123" t="s">
        <v>196</v>
      </c>
      <c r="AI48" s="586" t="str">
        <f>_xlfn.XLOOKUP($G48,$AG$78:$AG$84,AI$78:AI$84)</f>
        <v>ASSY-TR-Z-7B-GO</v>
      </c>
      <c r="AJ48" s="123" t="str">
        <f>_xlfn.XLOOKUP($G48,$AG$78:$AG$84,AJ$78:AJ$84)</f>
        <v>ASSY-TR-Z-7B-NG</v>
      </c>
      <c r="AK48" s="879" t="str">
        <f>_xlfn.XLOOKUP($G48,$AG$78:$AG$84,AK$78:AK$84)</f>
        <v>ASSY-TR-Z-7B</v>
      </c>
    </row>
    <row r="49" spans="1:37" ht="6" customHeight="1" x14ac:dyDescent="0.25"/>
    <row r="50" spans="1:37" x14ac:dyDescent="0.25">
      <c r="P50" s="848"/>
      <c r="T50" s="848"/>
      <c r="U50" t="s">
        <v>646</v>
      </c>
    </row>
    <row r="51" spans="1:37" ht="8.1" customHeight="1" x14ac:dyDescent="0.25">
      <c r="P51" s="848"/>
      <c r="T51" s="848"/>
    </row>
    <row r="52" spans="1:37" x14ac:dyDescent="0.25">
      <c r="P52" s="848"/>
      <c r="T52" s="848"/>
      <c r="U52" s="17" t="s">
        <v>957</v>
      </c>
    </row>
    <row r="53" spans="1:37" collapsed="1" x14ac:dyDescent="0.25">
      <c r="P53" s="848"/>
      <c r="T53" s="848"/>
      <c r="U53" s="293"/>
      <c r="X53" s="18"/>
      <c r="AI53" s="18"/>
      <c r="AJ53" s="18"/>
      <c r="AK53" s="18"/>
    </row>
    <row r="54" spans="1:37" hidden="1" outlineLevel="1" x14ac:dyDescent="0.25">
      <c r="F54" s="261"/>
      <c r="G54" s="261"/>
      <c r="X54" s="18">
        <v>1</v>
      </c>
      <c r="Y54" s="18" t="s">
        <v>198</v>
      </c>
      <c r="AB54" s="11" cm="1">
        <f t="array" ref="AB54">SUMPRODUCT(AB$21:AB$48,($X54=$G$21:$G$48)*($Y54=$Y$21:$Y$48))</f>
        <v>205</v>
      </c>
      <c r="AC54" s="11" cm="1">
        <f t="array" ref="AC54">SUMPRODUCT(AC$21:AC$48,($X54=$G$21:$G$48)*($Y54=$Y$21:$Y$48))</f>
        <v>195</v>
      </c>
      <c r="AD54" s="11" cm="1">
        <f t="array" ref="AD54">SUMPRODUCT(AD$21:AD$48,($X54=$G$21:$G$48)*($Y54=$Y$21:$Y$48))</f>
        <v>380</v>
      </c>
      <c r="AG54" s="18">
        <v>1</v>
      </c>
      <c r="AH54" s="18" t="s">
        <v>198</v>
      </c>
      <c r="AI54" s="18" t="s">
        <v>1182</v>
      </c>
      <c r="AJ54" s="18" t="s">
        <v>1189</v>
      </c>
      <c r="AK54" s="18" t="s">
        <v>1196</v>
      </c>
    </row>
    <row r="55" spans="1:37" hidden="1" outlineLevel="1" x14ac:dyDescent="0.25">
      <c r="F55" s="261"/>
      <c r="G55" s="261"/>
      <c r="U55" s="91"/>
      <c r="X55" s="18">
        <v>2</v>
      </c>
      <c r="Y55" s="12" t="str">
        <f>Y54</f>
        <v>XX</v>
      </c>
      <c r="AB55" s="11" cm="1">
        <f t="array" ref="AB55">SUMPRODUCT(AB$21:AB$48,($X55=$G$21:$G$48)*($Y55=$Y$21:$Y$48))</f>
        <v>210</v>
      </c>
      <c r="AC55" s="11" cm="1">
        <f t="array" ref="AC55">SUMPRODUCT(AC$21:AC$48,($X55=$G$21:$G$48)*($Y55=$Y$21:$Y$48))</f>
        <v>200</v>
      </c>
      <c r="AD55" s="11" cm="1">
        <f t="array" ref="AD55">SUMPRODUCT(AD$21:AD$48,($X55=$G$21:$G$48)*($Y55=$Y$21:$Y$48))</f>
        <v>385</v>
      </c>
      <c r="AG55" s="18">
        <v>2</v>
      </c>
      <c r="AH55" s="18" t="s">
        <v>198</v>
      </c>
      <c r="AI55" s="18" t="s">
        <v>1183</v>
      </c>
      <c r="AJ55" s="18" t="s">
        <v>1190</v>
      </c>
      <c r="AK55" s="18" t="s">
        <v>1197</v>
      </c>
    </row>
    <row r="56" spans="1:37" hidden="1" outlineLevel="1" x14ac:dyDescent="0.25">
      <c r="A56" s="46"/>
      <c r="F56" s="261"/>
      <c r="G56" s="261"/>
      <c r="X56" s="18">
        <v>3</v>
      </c>
      <c r="Y56" s="12" t="str">
        <f t="shared" ref="Y56:Y60" si="22">Y55</f>
        <v>XX</v>
      </c>
      <c r="AB56" s="11" cm="1">
        <f t="array" ref="AB56">SUMPRODUCT(AB$21:AB$48,($X56=$G$21:$G$48)*($Y56=$Y$21:$Y$48))</f>
        <v>220</v>
      </c>
      <c r="AC56" s="11" cm="1">
        <f t="array" ref="AC56">SUMPRODUCT(AC$21:AC$48,($X56=$G$21:$G$48)*($Y56=$Y$21:$Y$48))</f>
        <v>210</v>
      </c>
      <c r="AD56" s="11" cm="1">
        <f t="array" ref="AD56">SUMPRODUCT(AD$21:AD$48,($X56=$G$21:$G$48)*($Y56=$Y$21:$Y$48))</f>
        <v>405</v>
      </c>
      <c r="AG56" s="18">
        <v>3</v>
      </c>
      <c r="AH56" s="18" t="s">
        <v>198</v>
      </c>
      <c r="AI56" s="18" t="s">
        <v>1184</v>
      </c>
      <c r="AJ56" s="18" t="s">
        <v>1191</v>
      </c>
      <c r="AK56" s="18" t="s">
        <v>1198</v>
      </c>
    </row>
    <row r="57" spans="1:37" hidden="1" outlineLevel="1" x14ac:dyDescent="0.25">
      <c r="F57" s="261"/>
      <c r="G57" s="261"/>
      <c r="X57" s="18">
        <v>4</v>
      </c>
      <c r="Y57" s="12" t="str">
        <f t="shared" si="22"/>
        <v>XX</v>
      </c>
      <c r="AB57" s="11" cm="1">
        <f t="array" ref="AB57">SUMPRODUCT(AB$21:AB$48,($X57=$G$21:$G$48)*($Y57=$Y$21:$Y$48))</f>
        <v>280</v>
      </c>
      <c r="AC57" s="11" cm="1">
        <f t="array" ref="AC57">SUMPRODUCT(AC$21:AC$48,($X57=$G$21:$G$48)*($Y57=$Y$21:$Y$48))</f>
        <v>270</v>
      </c>
      <c r="AD57" s="11" cm="1">
        <f t="array" ref="AD57">SUMPRODUCT(AD$21:AD$48,($X57=$G$21:$G$48)*($Y57=$Y$21:$Y$48))</f>
        <v>525</v>
      </c>
      <c r="AG57" s="18">
        <v>4</v>
      </c>
      <c r="AH57" s="18" t="s">
        <v>198</v>
      </c>
      <c r="AI57" s="18" t="s">
        <v>1185</v>
      </c>
      <c r="AJ57" s="18" t="s">
        <v>1192</v>
      </c>
      <c r="AK57" s="18" t="s">
        <v>1199</v>
      </c>
    </row>
    <row r="58" spans="1:37" hidden="1" outlineLevel="1" x14ac:dyDescent="0.25">
      <c r="F58" s="261"/>
      <c r="G58" s="261"/>
      <c r="X58" s="18">
        <v>5</v>
      </c>
      <c r="Y58" s="12" t="str">
        <f t="shared" si="22"/>
        <v>XX</v>
      </c>
      <c r="AB58" s="11" cm="1">
        <f t="array" ref="AB58">SUMPRODUCT(AB$21:AB$48,($X58=$G$21:$G$48)*($Y58=$Y$21:$Y$48))</f>
        <v>320</v>
      </c>
      <c r="AC58" s="11" cm="1">
        <f t="array" ref="AC58">SUMPRODUCT(AC$21:AC$48,($X58=$G$21:$G$48)*($Y58=$Y$21:$Y$48))</f>
        <v>310</v>
      </c>
      <c r="AD58" s="11" cm="1">
        <f t="array" ref="AD58">SUMPRODUCT(AD$21:AD$48,($X58=$G$21:$G$48)*($Y58=$Y$21:$Y$48))</f>
        <v>600</v>
      </c>
      <c r="AG58" s="18">
        <v>5</v>
      </c>
      <c r="AH58" s="18" t="s">
        <v>198</v>
      </c>
      <c r="AI58" s="18" t="s">
        <v>1186</v>
      </c>
      <c r="AJ58" s="18" t="s">
        <v>1193</v>
      </c>
      <c r="AK58" s="18" t="s">
        <v>1200</v>
      </c>
    </row>
    <row r="59" spans="1:37" hidden="1" outlineLevel="1" x14ac:dyDescent="0.25">
      <c r="X59" s="18">
        <v>6</v>
      </c>
      <c r="Y59" s="12" t="str">
        <f t="shared" si="22"/>
        <v>XX</v>
      </c>
      <c r="AB59" s="11" cm="1">
        <f t="array" ref="AB59">SUMPRODUCT(AB$21:AB$48,($X59=$G$21:$G$48)*($Y59=$Y$21:$Y$48))</f>
        <v>380</v>
      </c>
      <c r="AC59" s="11" cm="1">
        <f t="array" ref="AC59">SUMPRODUCT(AC$21:AC$48,($X59=$G$21:$G$48)*($Y59=$Y$21:$Y$48))</f>
        <v>355</v>
      </c>
      <c r="AD59" s="11" cm="1">
        <f t="array" ref="AD59">SUMPRODUCT(AD$21:AD$48,($X59=$G$21:$G$48)*($Y59=$Y$21:$Y$48))</f>
        <v>700</v>
      </c>
      <c r="AG59" s="18">
        <v>6</v>
      </c>
      <c r="AH59" s="18" t="s">
        <v>198</v>
      </c>
      <c r="AI59" s="18" t="s">
        <v>1187</v>
      </c>
      <c r="AJ59" s="18" t="s">
        <v>1194</v>
      </c>
      <c r="AK59" s="18" t="s">
        <v>1201</v>
      </c>
    </row>
    <row r="60" spans="1:37" hidden="1" outlineLevel="1" x14ac:dyDescent="0.25">
      <c r="F60" s="261"/>
      <c r="G60" s="261"/>
      <c r="H60" s="261"/>
      <c r="X60" s="18">
        <v>7</v>
      </c>
      <c r="Y60" s="12" t="str">
        <f t="shared" si="22"/>
        <v>XX</v>
      </c>
      <c r="AB60" s="11" cm="1">
        <f t="array" ref="AB60">SUMPRODUCT(AB$21:AB$48,($X60=$G$21:$G$48)*($Y60=$Y$21:$Y$48))</f>
        <v>470</v>
      </c>
      <c r="AC60" s="11" cm="1">
        <f t="array" ref="AC60">SUMPRODUCT(AC$21:AC$48,($X60=$G$21:$G$48)*($Y60=$Y$21:$Y$48))</f>
        <v>415</v>
      </c>
      <c r="AD60" s="11" cm="1">
        <f t="array" ref="AD60">SUMPRODUCT(AD$21:AD$48,($X60=$G$21:$G$48)*($Y60=$Y$21:$Y$48))</f>
        <v>850</v>
      </c>
      <c r="AG60" s="18">
        <v>7</v>
      </c>
      <c r="AH60" s="18" t="s">
        <v>198</v>
      </c>
      <c r="AI60" s="18" t="s">
        <v>1188</v>
      </c>
      <c r="AJ60" s="18" t="s">
        <v>1195</v>
      </c>
      <c r="AK60" s="18" t="s">
        <v>1202</v>
      </c>
    </row>
    <row r="61" spans="1:37" hidden="1" outlineLevel="1" x14ac:dyDescent="0.25">
      <c r="F61" s="261"/>
      <c r="G61" s="261"/>
      <c r="H61" s="261"/>
      <c r="X61" s="18"/>
      <c r="AG61" s="18"/>
      <c r="AH61" s="18"/>
      <c r="AI61" s="18"/>
      <c r="AJ61" s="18"/>
      <c r="AK61" s="18"/>
    </row>
    <row r="62" spans="1:37" hidden="1" outlineLevel="1" x14ac:dyDescent="0.25">
      <c r="F62" s="261"/>
      <c r="G62" s="261"/>
      <c r="H62" s="261"/>
      <c r="X62" s="18">
        <v>1</v>
      </c>
      <c r="Y62" s="18" t="s">
        <v>197</v>
      </c>
      <c r="AB62" s="11" cm="1">
        <f t="array" ref="AB62">SUMPRODUCT(AB$21:AB$48,($X62=$G$21:$G$48)*($Y62=$Y$21:$Y$48))</f>
        <v>165</v>
      </c>
      <c r="AC62" s="11" cm="1">
        <f t="array" ref="AC62">SUMPRODUCT(AC$21:AC$48,($X62=$G$21:$G$48)*($Y62=$Y$21:$Y$48))</f>
        <v>160</v>
      </c>
      <c r="AD62" s="11" cm="1">
        <f t="array" ref="AD62">SUMPRODUCT(AD$21:AD$48,($X62=$G$21:$G$48)*($Y62=$Y$21:$Y$48))</f>
        <v>305</v>
      </c>
      <c r="AG62" s="18">
        <v>1</v>
      </c>
      <c r="AH62" s="18" t="s">
        <v>197</v>
      </c>
      <c r="AI62" s="18" t="s">
        <v>1203</v>
      </c>
      <c r="AJ62" s="18" t="s">
        <v>1210</v>
      </c>
      <c r="AK62" s="18" t="s">
        <v>1217</v>
      </c>
    </row>
    <row r="63" spans="1:37" hidden="1" outlineLevel="1" x14ac:dyDescent="0.25">
      <c r="F63" s="261"/>
      <c r="G63" s="261"/>
      <c r="H63" s="261"/>
      <c r="X63" s="18">
        <v>2</v>
      </c>
      <c r="Y63" s="12" t="str">
        <f>Y62</f>
        <v>X</v>
      </c>
      <c r="AB63" s="11" cm="1">
        <f t="array" ref="AB63">SUMPRODUCT(AB$21:AB$48,($X63=$G$21:$G$48)*($Y63=$Y$21:$Y$48))</f>
        <v>175</v>
      </c>
      <c r="AC63" s="11" cm="1">
        <f t="array" ref="AC63">SUMPRODUCT(AC$21:AC$48,($X63=$G$21:$G$48)*($Y63=$Y$21:$Y$48))</f>
        <v>170</v>
      </c>
      <c r="AD63" s="11" cm="1">
        <f t="array" ref="AD63">SUMPRODUCT(AD$21:AD$48,($X63=$G$21:$G$48)*($Y63=$Y$21:$Y$48))</f>
        <v>320</v>
      </c>
      <c r="AG63" s="18">
        <v>2</v>
      </c>
      <c r="AH63" s="18" t="s">
        <v>197</v>
      </c>
      <c r="AI63" s="18" t="s">
        <v>1204</v>
      </c>
      <c r="AJ63" s="18" t="s">
        <v>1211</v>
      </c>
      <c r="AK63" s="18" t="s">
        <v>1218</v>
      </c>
    </row>
    <row r="64" spans="1:37" hidden="1" outlineLevel="1" x14ac:dyDescent="0.25">
      <c r="F64" s="261"/>
      <c r="G64" s="261"/>
      <c r="H64" s="261"/>
      <c r="X64" s="18">
        <v>3</v>
      </c>
      <c r="Y64" s="12" t="str">
        <f t="shared" ref="Y64:Y68" si="23">Y63</f>
        <v>X</v>
      </c>
      <c r="AB64" s="11" cm="1">
        <f t="array" ref="AB64">SUMPRODUCT(AB$21:AB$48,($X64=$G$21:$G$48)*($Y64=$Y$21:$Y$48))</f>
        <v>180</v>
      </c>
      <c r="AC64" s="11" cm="1">
        <f t="array" ref="AC64">SUMPRODUCT(AC$21:AC$48,($X64=$G$21:$G$48)*($Y64=$Y$21:$Y$48))</f>
        <v>170</v>
      </c>
      <c r="AD64" s="11" cm="1">
        <f t="array" ref="AD64">SUMPRODUCT(AD$21:AD$48,($X64=$G$21:$G$48)*($Y64=$Y$21:$Y$48))</f>
        <v>330</v>
      </c>
      <c r="AG64" s="18">
        <v>3</v>
      </c>
      <c r="AH64" s="18" t="s">
        <v>197</v>
      </c>
      <c r="AI64" s="18" t="s">
        <v>1205</v>
      </c>
      <c r="AJ64" s="18" t="s">
        <v>1212</v>
      </c>
      <c r="AK64" s="18" t="s">
        <v>1219</v>
      </c>
    </row>
    <row r="65" spans="6:37" hidden="1" outlineLevel="1" x14ac:dyDescent="0.25">
      <c r="X65" s="18">
        <v>4</v>
      </c>
      <c r="Y65" s="12" t="str">
        <f t="shared" si="23"/>
        <v>X</v>
      </c>
      <c r="AB65" s="11" cm="1">
        <f t="array" ref="AB65">SUMPRODUCT(AB$21:AB$48,($X65=$G$21:$G$48)*($Y65=$Y$21:$Y$48))</f>
        <v>235</v>
      </c>
      <c r="AC65" s="11" cm="1">
        <f t="array" ref="AC65">SUMPRODUCT(AC$21:AC$48,($X65=$G$21:$G$48)*($Y65=$Y$21:$Y$48))</f>
        <v>220</v>
      </c>
      <c r="AD65" s="11" cm="1">
        <f t="array" ref="AD65">SUMPRODUCT(AD$21:AD$48,($X65=$G$21:$G$48)*($Y65=$Y$21:$Y$48))</f>
        <v>425</v>
      </c>
      <c r="AG65" s="18">
        <v>4</v>
      </c>
      <c r="AH65" s="18" t="s">
        <v>197</v>
      </c>
      <c r="AI65" s="18" t="s">
        <v>1206</v>
      </c>
      <c r="AJ65" s="18" t="s">
        <v>1213</v>
      </c>
      <c r="AK65" s="18" t="s">
        <v>1220</v>
      </c>
    </row>
    <row r="66" spans="6:37" hidden="1" outlineLevel="1" x14ac:dyDescent="0.25">
      <c r="F66" s="261"/>
      <c r="G66" s="261"/>
      <c r="X66" s="18">
        <v>5</v>
      </c>
      <c r="Y66" s="12" t="str">
        <f t="shared" si="23"/>
        <v>X</v>
      </c>
      <c r="AB66" s="11" cm="1">
        <f t="array" ref="AB66">SUMPRODUCT(AB$21:AB$48,($X66=$G$21:$G$48)*($Y66=$Y$21:$Y$48))</f>
        <v>260</v>
      </c>
      <c r="AC66" s="11" cm="1">
        <f t="array" ref="AC66">SUMPRODUCT(AC$21:AC$48,($X66=$G$21:$G$48)*($Y66=$Y$21:$Y$48))</f>
        <v>250</v>
      </c>
      <c r="AD66" s="11" cm="1">
        <f t="array" ref="AD66">SUMPRODUCT(AD$21:AD$48,($X66=$G$21:$G$48)*($Y66=$Y$21:$Y$48))</f>
        <v>480</v>
      </c>
      <c r="AG66" s="18">
        <v>5</v>
      </c>
      <c r="AH66" s="18" t="s">
        <v>197</v>
      </c>
      <c r="AI66" s="18" t="s">
        <v>1207</v>
      </c>
      <c r="AJ66" s="18" t="s">
        <v>1214</v>
      </c>
      <c r="AK66" s="18" t="s">
        <v>1221</v>
      </c>
    </row>
    <row r="67" spans="6:37" hidden="1" outlineLevel="1" x14ac:dyDescent="0.25">
      <c r="F67" s="261"/>
      <c r="G67" s="261"/>
      <c r="X67" s="18">
        <v>6</v>
      </c>
      <c r="Y67" s="12" t="str">
        <f t="shared" si="23"/>
        <v>X</v>
      </c>
      <c r="AB67" s="11" cm="1">
        <f t="array" ref="AB67">SUMPRODUCT(AB$21:AB$48,($X67=$G$21:$G$48)*($Y67=$Y$21:$Y$48))</f>
        <v>320</v>
      </c>
      <c r="AC67" s="11" cm="1">
        <f t="array" ref="AC67">SUMPRODUCT(AC$21:AC$48,($X67=$G$21:$G$48)*($Y67=$Y$21:$Y$48))</f>
        <v>295</v>
      </c>
      <c r="AD67" s="11" cm="1">
        <f t="array" ref="AD67">SUMPRODUCT(AD$21:AD$48,($X67=$G$21:$G$48)*($Y67=$Y$21:$Y$48))</f>
        <v>580</v>
      </c>
      <c r="AG67" s="18">
        <v>6</v>
      </c>
      <c r="AH67" s="18" t="s">
        <v>197</v>
      </c>
      <c r="AI67" s="18" t="s">
        <v>1208</v>
      </c>
      <c r="AJ67" s="18" t="s">
        <v>1215</v>
      </c>
      <c r="AK67" s="18" t="s">
        <v>1222</v>
      </c>
    </row>
    <row r="68" spans="6:37" hidden="1" outlineLevel="1" x14ac:dyDescent="0.25">
      <c r="F68" s="261"/>
      <c r="G68" s="261"/>
      <c r="X68" s="18">
        <v>7</v>
      </c>
      <c r="Y68" s="12" t="str">
        <f t="shared" si="23"/>
        <v>X</v>
      </c>
      <c r="AB68" s="11" cm="1">
        <f t="array" ref="AB68">SUMPRODUCT(AB$21:AB$48,($X68=$G$21:$G$48)*($Y68=$Y$21:$Y$48))</f>
        <v>410</v>
      </c>
      <c r="AC68" s="11" cm="1">
        <f t="array" ref="AC68">SUMPRODUCT(AC$21:AC$48,($X68=$G$21:$G$48)*($Y68=$Y$21:$Y$48))</f>
        <v>365</v>
      </c>
      <c r="AD68" s="11" cm="1">
        <f t="array" ref="AD68">SUMPRODUCT(AD$21:AD$48,($X68=$G$21:$G$48)*($Y68=$Y$21:$Y$48))</f>
        <v>745</v>
      </c>
      <c r="AG68" s="18">
        <v>7</v>
      </c>
      <c r="AH68" s="18" t="s">
        <v>197</v>
      </c>
      <c r="AI68" s="18" t="s">
        <v>1209</v>
      </c>
      <c r="AJ68" s="18" t="s">
        <v>1216</v>
      </c>
      <c r="AK68" s="18" t="s">
        <v>1223</v>
      </c>
    </row>
    <row r="69" spans="6:37" hidden="1" outlineLevel="1" x14ac:dyDescent="0.25">
      <c r="F69" s="261"/>
      <c r="G69" s="261"/>
      <c r="X69" s="18"/>
      <c r="AG69" s="18"/>
      <c r="AH69" s="18"/>
      <c r="AI69" s="18"/>
      <c r="AJ69" s="18"/>
      <c r="AK69" s="18"/>
    </row>
    <row r="70" spans="6:37" hidden="1" outlineLevel="1" x14ac:dyDescent="0.25">
      <c r="F70" s="261"/>
      <c r="G70" s="261"/>
      <c r="X70" s="18">
        <v>1</v>
      </c>
      <c r="Y70" s="18" t="s">
        <v>209</v>
      </c>
      <c r="AB70" s="11" cm="1">
        <f t="array" ref="AB70">SUMPRODUCT(AB$21:AB$48,($X70=$G$21:$G$48)*($Y70=$Y$21:$Y$48))</f>
        <v>150</v>
      </c>
      <c r="AC70" s="11" cm="1">
        <f t="array" ref="AC70">SUMPRODUCT(AC$21:AC$48,($X70=$G$21:$G$48)*($Y70=$Y$21:$Y$48))</f>
        <v>145</v>
      </c>
      <c r="AD70" s="11" cm="1">
        <f t="array" ref="AD70">SUMPRODUCT(AD$21:AD$48,($X70=$G$21:$G$48)*($Y70=$Y$21:$Y$48))</f>
        <v>270</v>
      </c>
      <c r="AG70" s="18">
        <v>1</v>
      </c>
      <c r="AH70" s="18" t="s">
        <v>209</v>
      </c>
      <c r="AI70" s="18" t="s">
        <v>1224</v>
      </c>
      <c r="AJ70" s="18" t="s">
        <v>1231</v>
      </c>
      <c r="AK70" s="18" t="s">
        <v>1238</v>
      </c>
    </row>
    <row r="71" spans="6:37" hidden="1" outlineLevel="1" x14ac:dyDescent="0.25">
      <c r="X71" s="18">
        <v>2</v>
      </c>
      <c r="Y71" s="12" t="str">
        <f>Y70</f>
        <v>Y</v>
      </c>
      <c r="AB71" s="11" cm="1">
        <f t="array" ref="AB71">SUMPRODUCT(AB$21:AB$48,($X71=$G$21:$G$48)*($Y71=$Y$21:$Y$48))</f>
        <v>155</v>
      </c>
      <c r="AC71" s="11" cm="1">
        <f t="array" ref="AC71">SUMPRODUCT(AC$21:AC$48,($X71=$G$21:$G$48)*($Y71=$Y$21:$Y$48))</f>
        <v>150</v>
      </c>
      <c r="AD71" s="11" cm="1">
        <f t="array" ref="AD71">SUMPRODUCT(AD$21:AD$48,($X71=$G$21:$G$48)*($Y71=$Y$21:$Y$48))</f>
        <v>285</v>
      </c>
      <c r="AG71" s="18">
        <v>2</v>
      </c>
      <c r="AH71" s="18" t="s">
        <v>209</v>
      </c>
      <c r="AI71" s="18" t="s">
        <v>1225</v>
      </c>
      <c r="AJ71" s="18" t="s">
        <v>1232</v>
      </c>
      <c r="AK71" s="18" t="s">
        <v>1239</v>
      </c>
    </row>
    <row r="72" spans="6:37" hidden="1" outlineLevel="1" x14ac:dyDescent="0.25">
      <c r="F72" s="261"/>
      <c r="G72" s="261"/>
      <c r="X72" s="18">
        <v>3</v>
      </c>
      <c r="Y72" s="12" t="str">
        <f t="shared" ref="Y72:Y76" si="24">Y71</f>
        <v>Y</v>
      </c>
      <c r="AB72" s="11" cm="1">
        <f t="array" ref="AB72">SUMPRODUCT(AB$21:AB$48,($X72=$G$21:$G$48)*($Y72=$Y$21:$Y$48))</f>
        <v>160</v>
      </c>
      <c r="AC72" s="11" cm="1">
        <f t="array" ref="AC72">SUMPRODUCT(AC$21:AC$48,($X72=$G$21:$G$48)*($Y72=$Y$21:$Y$48))</f>
        <v>150</v>
      </c>
      <c r="AD72" s="11" cm="1">
        <f t="array" ref="AD72">SUMPRODUCT(AD$21:AD$48,($X72=$G$21:$G$48)*($Y72=$Y$21:$Y$48))</f>
        <v>285</v>
      </c>
      <c r="AG72" s="18">
        <v>3</v>
      </c>
      <c r="AH72" s="18" t="s">
        <v>209</v>
      </c>
      <c r="AI72" s="18" t="s">
        <v>1226</v>
      </c>
      <c r="AJ72" s="18" t="s">
        <v>1233</v>
      </c>
      <c r="AK72" s="18" t="s">
        <v>1240</v>
      </c>
    </row>
    <row r="73" spans="6:37" hidden="1" outlineLevel="1" x14ac:dyDescent="0.25">
      <c r="F73" s="261"/>
      <c r="G73" s="261"/>
      <c r="X73" s="18">
        <v>4</v>
      </c>
      <c r="Y73" s="12" t="str">
        <f t="shared" si="24"/>
        <v>Y</v>
      </c>
      <c r="AB73" s="11" cm="1">
        <f t="array" ref="AB73">SUMPRODUCT(AB$21:AB$48,($X73=$G$21:$G$48)*($Y73=$Y$21:$Y$48))</f>
        <v>205</v>
      </c>
      <c r="AC73" s="11" cm="1">
        <f t="array" ref="AC73">SUMPRODUCT(AC$21:AC$48,($X73=$G$21:$G$48)*($Y73=$Y$21:$Y$48))</f>
        <v>190</v>
      </c>
      <c r="AD73" s="11" cm="1">
        <f t="array" ref="AD73">SUMPRODUCT(AD$21:AD$48,($X73=$G$21:$G$48)*($Y73=$Y$21:$Y$48))</f>
        <v>365</v>
      </c>
      <c r="AG73" s="18">
        <v>4</v>
      </c>
      <c r="AH73" s="18" t="s">
        <v>209</v>
      </c>
      <c r="AI73" s="18" t="s">
        <v>1227</v>
      </c>
      <c r="AJ73" s="18" t="s">
        <v>1234</v>
      </c>
      <c r="AK73" s="18" t="s">
        <v>1241</v>
      </c>
    </row>
    <row r="74" spans="6:37" hidden="1" outlineLevel="1" x14ac:dyDescent="0.25">
      <c r="F74" s="261"/>
      <c r="G74" s="261"/>
      <c r="X74" s="18">
        <v>5</v>
      </c>
      <c r="Y74" s="12" t="str">
        <f t="shared" si="24"/>
        <v>Y</v>
      </c>
      <c r="AB74" s="11" cm="1">
        <f t="array" ref="AB74">SUMPRODUCT(AB$21:AB$48,($X74=$G$21:$G$48)*($Y74=$Y$21:$Y$48))</f>
        <v>240</v>
      </c>
      <c r="AC74" s="11" cm="1">
        <f t="array" ref="AC74">SUMPRODUCT(AC$21:AC$48,($X74=$G$21:$G$48)*($Y74=$Y$21:$Y$48))</f>
        <v>225</v>
      </c>
      <c r="AD74" s="11" cm="1">
        <f t="array" ref="AD74">SUMPRODUCT(AD$21:AD$48,($X74=$G$21:$G$48)*($Y74=$Y$21:$Y$48))</f>
        <v>430</v>
      </c>
      <c r="AG74" s="18">
        <v>5</v>
      </c>
      <c r="AH74" s="18" t="s">
        <v>209</v>
      </c>
      <c r="AI74" s="18" t="s">
        <v>1228</v>
      </c>
      <c r="AJ74" s="18" t="s">
        <v>1235</v>
      </c>
      <c r="AK74" s="18" t="s">
        <v>1242</v>
      </c>
    </row>
    <row r="75" spans="6:37" hidden="1" outlineLevel="1" x14ac:dyDescent="0.25">
      <c r="F75" s="261"/>
      <c r="G75" s="261"/>
      <c r="X75" s="18">
        <v>6</v>
      </c>
      <c r="Y75" s="12" t="str">
        <f t="shared" si="24"/>
        <v>Y</v>
      </c>
      <c r="AB75" s="11" cm="1">
        <f t="array" ref="AB75">SUMPRODUCT(AB$21:AB$48,($X75=$G$21:$G$48)*($Y75=$Y$21:$Y$48))</f>
        <v>295</v>
      </c>
      <c r="AC75" s="11" cm="1">
        <f t="array" ref="AC75">SUMPRODUCT(AC$21:AC$48,($X75=$G$21:$G$48)*($Y75=$Y$21:$Y$48))</f>
        <v>265</v>
      </c>
      <c r="AD75" s="11" cm="1">
        <f t="array" ref="AD75">SUMPRODUCT(AD$21:AD$48,($X75=$G$21:$G$48)*($Y75=$Y$21:$Y$48))</f>
        <v>525</v>
      </c>
      <c r="AG75" s="18">
        <v>6</v>
      </c>
      <c r="AH75" s="18" t="s">
        <v>209</v>
      </c>
      <c r="AI75" s="18" t="s">
        <v>1229</v>
      </c>
      <c r="AJ75" s="18" t="s">
        <v>1236</v>
      </c>
      <c r="AK75" s="18" t="s">
        <v>1243</v>
      </c>
    </row>
    <row r="76" spans="6:37" hidden="1" outlineLevel="1" x14ac:dyDescent="0.25">
      <c r="F76" s="261"/>
      <c r="G76" s="261"/>
      <c r="X76" s="18">
        <v>7</v>
      </c>
      <c r="Y76" s="12" t="str">
        <f t="shared" si="24"/>
        <v>Y</v>
      </c>
      <c r="AB76" s="11" cm="1">
        <f t="array" ref="AB76">SUMPRODUCT(AB$21:AB$48,($X76=$G$21:$G$48)*($Y76=$Y$21:$Y$48))</f>
        <v>370</v>
      </c>
      <c r="AC76" s="11" cm="1">
        <f t="array" ref="AC76">SUMPRODUCT(AC$21:AC$48,($X76=$G$21:$G$48)*($Y76=$Y$21:$Y$48))</f>
        <v>325</v>
      </c>
      <c r="AD76" s="11" cm="1">
        <f t="array" ref="AD76">SUMPRODUCT(AD$21:AD$48,($X76=$G$21:$G$48)*($Y76=$Y$21:$Y$48))</f>
        <v>665</v>
      </c>
      <c r="AG76" s="18">
        <v>7</v>
      </c>
      <c r="AH76" s="18" t="s">
        <v>209</v>
      </c>
      <c r="AI76" s="18" t="s">
        <v>1230</v>
      </c>
      <c r="AJ76" s="18" t="s">
        <v>1237</v>
      </c>
      <c r="AK76" s="18" t="s">
        <v>1244</v>
      </c>
    </row>
    <row r="77" spans="6:37" hidden="1" outlineLevel="1" x14ac:dyDescent="0.25">
      <c r="X77" s="18"/>
      <c r="AG77" s="18"/>
      <c r="AH77" s="18"/>
      <c r="AI77" s="18"/>
      <c r="AJ77" s="18"/>
      <c r="AK77" s="18"/>
    </row>
    <row r="78" spans="6:37" hidden="1" outlineLevel="1" x14ac:dyDescent="0.25">
      <c r="X78" s="18">
        <v>1</v>
      </c>
      <c r="Y78" s="18" t="s">
        <v>196</v>
      </c>
      <c r="AB78" s="11" cm="1">
        <f t="array" ref="AB78">SUMPRODUCT(AB$21:AB$48,($X78=$G$21:$G$48)*($Y78=$Y$21:$Y$48))</f>
        <v>120</v>
      </c>
      <c r="AC78" s="11" cm="1">
        <f t="array" ref="AC78">SUMPRODUCT(AC$21:AC$48,($X78=$G$21:$G$48)*($Y78=$Y$21:$Y$48))</f>
        <v>105</v>
      </c>
      <c r="AD78" s="11" cm="1">
        <f t="array" ref="AD78">SUMPRODUCT(AD$21:AD$48,($X78=$G$21:$G$48)*($Y78=$Y$21:$Y$48))</f>
        <v>205</v>
      </c>
      <c r="AG78" s="18">
        <v>1</v>
      </c>
      <c r="AH78" s="18" t="s">
        <v>196</v>
      </c>
      <c r="AI78" s="18" t="s">
        <v>1245</v>
      </c>
      <c r="AJ78" s="18" t="s">
        <v>1252</v>
      </c>
      <c r="AK78" s="18" t="s">
        <v>1259</v>
      </c>
    </row>
    <row r="79" spans="6:37" hidden="1" outlineLevel="1" x14ac:dyDescent="0.25">
      <c r="X79" s="18">
        <v>2</v>
      </c>
      <c r="Y79" s="12" t="str">
        <f>Y78</f>
        <v>Z</v>
      </c>
      <c r="AB79" s="11" cm="1">
        <f t="array" ref="AB79">SUMPRODUCT(AB$21:AB$48,($X79=$G$21:$G$48)*($Y79=$Y$21:$Y$48))</f>
        <v>125</v>
      </c>
      <c r="AC79" s="11" cm="1">
        <f t="array" ref="AC79">SUMPRODUCT(AC$21:AC$48,($X79=$G$21:$G$48)*($Y79=$Y$21:$Y$48))</f>
        <v>115</v>
      </c>
      <c r="AD79" s="11" cm="1">
        <f t="array" ref="AD79">SUMPRODUCT(AD$21:AD$48,($X79=$G$21:$G$48)*($Y79=$Y$21:$Y$48))</f>
        <v>220</v>
      </c>
      <c r="AG79" s="18">
        <v>2</v>
      </c>
      <c r="AH79" s="18" t="s">
        <v>196</v>
      </c>
      <c r="AI79" s="18" t="s">
        <v>1246</v>
      </c>
      <c r="AJ79" s="18" t="s">
        <v>1253</v>
      </c>
      <c r="AK79" s="18" t="s">
        <v>1260</v>
      </c>
    </row>
    <row r="80" spans="6:37" hidden="1" outlineLevel="1" x14ac:dyDescent="0.25">
      <c r="X80" s="18">
        <v>3</v>
      </c>
      <c r="Y80" s="12" t="str">
        <f t="shared" ref="Y80:Y84" si="25">Y79</f>
        <v>Z</v>
      </c>
      <c r="AB80" s="11" cm="1">
        <f t="array" ref="AB80">SUMPRODUCT(AB$21:AB$48,($X80=$G$21:$G$48)*($Y80=$Y$21:$Y$48))</f>
        <v>140</v>
      </c>
      <c r="AC80" s="11" cm="1">
        <f t="array" ref="AC80">SUMPRODUCT(AC$21:AC$48,($X80=$G$21:$G$48)*($Y80=$Y$21:$Y$48))</f>
        <v>130</v>
      </c>
      <c r="AD80" s="11" cm="1">
        <f t="array" ref="AD80">SUMPRODUCT(AD$21:AD$48,($X80=$G$21:$G$48)*($Y80=$Y$21:$Y$48))</f>
        <v>245</v>
      </c>
      <c r="AG80" s="18">
        <v>3</v>
      </c>
      <c r="AH80" s="18" t="s">
        <v>196</v>
      </c>
      <c r="AI80" s="18" t="s">
        <v>1247</v>
      </c>
      <c r="AJ80" s="18" t="s">
        <v>1254</v>
      </c>
      <c r="AK80" s="18" t="s">
        <v>1261</v>
      </c>
    </row>
    <row r="81" spans="24:37" hidden="1" outlineLevel="1" x14ac:dyDescent="0.25">
      <c r="X81" s="18">
        <v>4</v>
      </c>
      <c r="Y81" s="12" t="str">
        <f t="shared" si="25"/>
        <v>Z</v>
      </c>
      <c r="AB81" s="11" cm="1">
        <f t="array" ref="AB81">SUMPRODUCT(AB$21:AB$48,($X81=$G$21:$G$48)*($Y81=$Y$21:$Y$48))</f>
        <v>185</v>
      </c>
      <c r="AC81" s="11" cm="1">
        <f t="array" ref="AC81">SUMPRODUCT(AC$21:AC$48,($X81=$G$21:$G$48)*($Y81=$Y$21:$Y$48))</f>
        <v>165</v>
      </c>
      <c r="AD81" s="11" cm="1">
        <f t="array" ref="AD81">SUMPRODUCT(AD$21:AD$48,($X81=$G$21:$G$48)*($Y81=$Y$21:$Y$48))</f>
        <v>325</v>
      </c>
      <c r="AG81" s="18">
        <v>4</v>
      </c>
      <c r="AH81" s="18" t="s">
        <v>196</v>
      </c>
      <c r="AI81" s="18" t="s">
        <v>1248</v>
      </c>
      <c r="AJ81" s="18" t="s">
        <v>1255</v>
      </c>
      <c r="AK81" s="18" t="s">
        <v>1262</v>
      </c>
    </row>
    <row r="82" spans="24:37" hidden="1" outlineLevel="1" x14ac:dyDescent="0.25">
      <c r="X82" s="18">
        <v>5</v>
      </c>
      <c r="Y82" s="12" t="str">
        <f t="shared" si="25"/>
        <v>Z</v>
      </c>
      <c r="AB82" s="11" cm="1">
        <f t="array" ref="AB82">SUMPRODUCT(AB$21:AB$48,($X82=$G$21:$G$48)*($Y82=$Y$21:$Y$48))</f>
        <v>220</v>
      </c>
      <c r="AC82" s="11" cm="1">
        <f t="array" ref="AC82">SUMPRODUCT(AC$21:AC$48,($X82=$G$21:$G$48)*($Y82=$Y$21:$Y$48))</f>
        <v>210</v>
      </c>
      <c r="AD82" s="11" cm="1">
        <f t="array" ref="AD82">SUMPRODUCT(AD$21:AD$48,($X82=$G$21:$G$48)*($Y82=$Y$21:$Y$48))</f>
        <v>395</v>
      </c>
      <c r="AG82" s="18">
        <v>5</v>
      </c>
      <c r="AH82" s="18" t="s">
        <v>196</v>
      </c>
      <c r="AI82" s="18" t="s">
        <v>1249</v>
      </c>
      <c r="AJ82" s="18" t="s">
        <v>1256</v>
      </c>
      <c r="AK82" s="18" t="s">
        <v>1263</v>
      </c>
    </row>
    <row r="83" spans="24:37" hidden="1" outlineLevel="1" x14ac:dyDescent="0.25">
      <c r="X83" s="18">
        <v>6</v>
      </c>
      <c r="Y83" s="12" t="str">
        <f t="shared" si="25"/>
        <v>Z</v>
      </c>
      <c r="AB83" s="11" cm="1">
        <f t="array" ref="AB83">SUMPRODUCT(AB$21:AB$48,($X83=$G$21:$G$48)*($Y83=$Y$21:$Y$48))</f>
        <v>260</v>
      </c>
      <c r="AC83" s="11" cm="1">
        <f t="array" ref="AC83">SUMPRODUCT(AC$21:AC$48,($X83=$G$21:$G$48)*($Y83=$Y$21:$Y$48))</f>
        <v>235</v>
      </c>
      <c r="AD83" s="11" cm="1">
        <f t="array" ref="AD83">SUMPRODUCT(AD$21:AD$48,($X83=$G$21:$G$48)*($Y83=$Y$21:$Y$48))</f>
        <v>460</v>
      </c>
      <c r="AG83" s="18">
        <v>6</v>
      </c>
      <c r="AH83" s="18" t="s">
        <v>196</v>
      </c>
      <c r="AI83" s="18" t="s">
        <v>1250</v>
      </c>
      <c r="AJ83" s="18" t="s">
        <v>1257</v>
      </c>
      <c r="AK83" s="18" t="s">
        <v>1264</v>
      </c>
    </row>
    <row r="84" spans="24:37" hidden="1" outlineLevel="1" x14ac:dyDescent="0.25">
      <c r="X84" s="18">
        <v>7</v>
      </c>
      <c r="Y84" s="12" t="str">
        <f t="shared" si="25"/>
        <v>Z</v>
      </c>
      <c r="AB84" s="11" cm="1">
        <f t="array" ref="AB84">SUMPRODUCT(AB$21:AB$48,($X84=$G$21:$G$48)*($Y84=$Y$21:$Y$48))</f>
        <v>335</v>
      </c>
      <c r="AC84" s="11" cm="1">
        <f t="array" ref="AC84">SUMPRODUCT(AC$21:AC$48,($X84=$G$21:$G$48)*($Y84=$Y$21:$Y$48))</f>
        <v>290</v>
      </c>
      <c r="AD84" s="11" cm="1">
        <f t="array" ref="AD84">SUMPRODUCT(AD$21:AD$48,($X84=$G$21:$G$48)*($Y84=$Y$21:$Y$48))</f>
        <v>595</v>
      </c>
      <c r="AG84" s="18">
        <v>7</v>
      </c>
      <c r="AH84" s="18" t="s">
        <v>196</v>
      </c>
      <c r="AI84" s="18" t="s">
        <v>1251</v>
      </c>
      <c r="AJ84" s="18" t="s">
        <v>1258</v>
      </c>
      <c r="AK84" s="18" t="s">
        <v>1265</v>
      </c>
    </row>
    <row r="85" spans="24:37" hidden="1" outlineLevel="1" x14ac:dyDescent="0.25">
      <c r="X85" s="18"/>
    </row>
    <row r="86" spans="24:37" x14ac:dyDescent="0.25">
      <c r="X86" s="18"/>
    </row>
    <row r="87" spans="24:37" x14ac:dyDescent="0.25">
      <c r="X87" s="18"/>
    </row>
    <row r="88" spans="24:37" x14ac:dyDescent="0.25">
      <c r="X88" s="18"/>
    </row>
  </sheetData>
  <sheetProtection algorithmName="SHA-512" hashValue="/E7KLgqjArPmTiY8k/pJ+pfhD/n5NfUtPFjpdZkW4RZw10NnEBmk8TDNriZ8JGzLWsVInCZopKS2DH1pcNVdIA==" saltValue="iDw0EGtGPkhysppNkesdNg==" spinCount="100000" sheet="1" objects="1" scenarios="1"/>
  <mergeCells count="15">
    <mergeCell ref="AG37:AG40"/>
    <mergeCell ref="AG41:AG44"/>
    <mergeCell ref="AG45:AG48"/>
    <mergeCell ref="AG25:AG28"/>
    <mergeCell ref="AG29:AG32"/>
    <mergeCell ref="AJ19:AJ20"/>
    <mergeCell ref="AG21:AG24"/>
    <mergeCell ref="AH19:AH20"/>
    <mergeCell ref="AK19:AK20"/>
    <mergeCell ref="AG33:AG36"/>
    <mergeCell ref="U19:V20"/>
    <mergeCell ref="Y19:Y20"/>
    <mergeCell ref="AF19:AF20"/>
    <mergeCell ref="AG19:AG20"/>
    <mergeCell ref="AI19:AI20"/>
  </mergeCells>
  <conditionalFormatting sqref="U5:U17">
    <cfRule type="expression" dxfId="15" priority="1">
      <formula>#REF!="y"</formula>
    </cfRule>
  </conditionalFormatting>
  <pageMargins left="0" right="0" top="0.7" bottom="0.75" header="0.3" footer="0.3"/>
  <pageSetup scale="88" fitToHeight="0"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2FEDD-9AC4-45C1-B36A-1C546030DD1C}">
  <sheetPr codeName="Sheet21">
    <outlinePr summaryBelow="0"/>
    <pageSetUpPr autoPageBreaks="0"/>
  </sheetPr>
  <dimension ref="A1:AA97"/>
  <sheetViews>
    <sheetView showGridLines="0" zoomScale="90" zoomScaleNormal="90" workbookViewId="0">
      <selection activeCell="N74" sqref="N74"/>
    </sheetView>
  </sheetViews>
  <sheetFormatPr defaultRowHeight="15" outlineLevelRow="1" outlineLevelCol="1" x14ac:dyDescent="0.25"/>
  <cols>
    <col min="1" max="1" width="2.7109375" customWidth="1"/>
    <col min="2" max="2" width="11.7109375" hidden="1" customWidth="1" outlineLevel="1"/>
    <col min="3" max="4" width="9.85546875" hidden="1" customWidth="1" outlineLevel="1"/>
    <col min="5" max="5" width="1.7109375" hidden="1" customWidth="1" outlineLevel="1"/>
    <col min="6" max="6" width="10.28515625" hidden="1" customWidth="1" outlineLevel="1"/>
    <col min="7" max="7" width="10.28515625" style="11" hidden="1" customWidth="1" outlineLevel="1"/>
    <col min="8" max="8" width="1.7109375" hidden="1" customWidth="1" outlineLevel="1"/>
    <col min="9" max="9" width="11.140625" hidden="1" customWidth="1" outlineLevel="1"/>
    <col min="10" max="10" width="1.7109375" hidden="1" customWidth="1" outlineLevel="1"/>
    <col min="11" max="12" width="10.28515625" hidden="1" customWidth="1" outlineLevel="1"/>
    <col min="13" max="13" width="1.7109375" hidden="1" customWidth="1" outlineLevel="1"/>
    <col min="14" max="14" width="12" customWidth="1" collapsed="1"/>
    <col min="15" max="15" width="12" customWidth="1"/>
    <col min="16" max="18" width="14.85546875" style="11" customWidth="1"/>
    <col min="19" max="20" width="14.85546875" customWidth="1"/>
    <col min="21" max="21" width="14" customWidth="1"/>
    <col min="22" max="22" width="2.7109375" hidden="1" customWidth="1" outlineLevel="1"/>
    <col min="23" max="23" width="22.140625" hidden="1" customWidth="1" outlineLevel="1"/>
    <col min="24" max="25" width="11.42578125" hidden="1" customWidth="1" outlineLevel="1"/>
    <col min="26" max="26" width="21" hidden="1" customWidth="1" outlineLevel="1"/>
    <col min="27" max="27" width="11.28515625" customWidth="1" collapsed="1"/>
    <col min="28" max="46" width="11.28515625" customWidth="1"/>
  </cols>
  <sheetData>
    <row r="1" spans="2:23" ht="9.9499999999999993" customHeight="1" x14ac:dyDescent="0.25"/>
    <row r="2" spans="2:23" ht="21" x14ac:dyDescent="0.35">
      <c r="N2" s="386" t="s">
        <v>621</v>
      </c>
      <c r="O2" s="88"/>
      <c r="W2" s="860" t="s">
        <v>1267</v>
      </c>
    </row>
    <row r="3" spans="2:23" ht="18.75" x14ac:dyDescent="0.3">
      <c r="F3" s="31"/>
      <c r="N3" s="444" t="s">
        <v>652</v>
      </c>
      <c r="O3" s="88"/>
    </row>
    <row r="4" spans="2:23" x14ac:dyDescent="0.25">
      <c r="B4" s="89"/>
      <c r="D4" s="89"/>
      <c r="E4" s="89"/>
      <c r="F4" s="89"/>
      <c r="G4" s="251"/>
      <c r="K4" s="574"/>
      <c r="L4" s="574"/>
      <c r="N4" s="91"/>
    </row>
    <row r="5" spans="2:23" x14ac:dyDescent="0.25">
      <c r="B5" s="574" t="s">
        <v>859</v>
      </c>
      <c r="C5" s="574" t="s">
        <v>1417</v>
      </c>
      <c r="E5" s="401"/>
      <c r="F5" s="396" t="s">
        <v>635</v>
      </c>
      <c r="G5" s="400" t="s">
        <v>644</v>
      </c>
      <c r="H5" s="401"/>
      <c r="M5" s="403"/>
      <c r="N5" s="396" t="str">
        <f>_xlfn.CONCAT($F$5,"  ",G5)</f>
        <v>•  Class XX, X, Y, or Z</v>
      </c>
    </row>
    <row r="6" spans="2:23" x14ac:dyDescent="0.25">
      <c r="B6" s="2">
        <v>350</v>
      </c>
      <c r="C6" s="2" t="s">
        <v>826</v>
      </c>
      <c r="E6" s="401"/>
      <c r="F6" s="396"/>
      <c r="G6" s="400" t="s">
        <v>674</v>
      </c>
      <c r="H6" s="401"/>
      <c r="M6" s="403"/>
      <c r="N6" s="396" t="str">
        <f>_xlfn.CONCAT($F$5,"  ",G6)</f>
        <v>•  Taperlock-style (up to 1.510")</v>
      </c>
    </row>
    <row r="7" spans="2:23" x14ac:dyDescent="0.25">
      <c r="E7" s="401"/>
      <c r="F7" s="396"/>
      <c r="G7" s="13" t="s">
        <v>489</v>
      </c>
      <c r="H7" s="401"/>
      <c r="M7" s="403"/>
      <c r="N7" s="396" t="str">
        <f>_xlfn.CONCAT($F$5,"  ",G7)</f>
        <v>•  Available in steel only</v>
      </c>
    </row>
    <row r="8" spans="2:23" x14ac:dyDescent="0.25">
      <c r="E8" s="401"/>
      <c r="F8" s="401"/>
      <c r="G8" s="400" t="s">
        <v>655</v>
      </c>
      <c r="H8" s="401"/>
      <c r="M8" s="11"/>
      <c r="N8" s="396" t="str">
        <f>_xlfn.CONCAT($F$5,"  ",G8)</f>
        <v>•  Specify Go and NoGo sizes</v>
      </c>
    </row>
    <row r="9" spans="2:23" x14ac:dyDescent="0.25">
      <c r="B9" s="438" t="s">
        <v>669</v>
      </c>
      <c r="E9" s="89"/>
      <c r="F9" s="89"/>
      <c r="G9" s="77" t="s">
        <v>657</v>
      </c>
      <c r="H9" s="89"/>
      <c r="N9" s="396" t="str">
        <f>_xlfn.CONCAT($F$5,"  ",G9)</f>
        <v>•  Custom marking available – $15 per handle flat</v>
      </c>
    </row>
    <row r="10" spans="2:23" ht="15.75" collapsed="1" thickBot="1" x14ac:dyDescent="0.3">
      <c r="B10" s="89"/>
      <c r="C10" s="77"/>
      <c r="D10" s="89"/>
      <c r="E10" s="89"/>
      <c r="F10" s="251"/>
      <c r="G10" s="296"/>
      <c r="N10" s="396"/>
    </row>
    <row r="11" spans="2:23" hidden="1" outlineLevel="1" x14ac:dyDescent="0.25">
      <c r="B11" s="89"/>
      <c r="C11" s="77"/>
      <c r="D11" s="89"/>
      <c r="E11" s="89"/>
      <c r="F11" s="539">
        <v>1</v>
      </c>
      <c r="G11" s="296">
        <v>18</v>
      </c>
      <c r="N11" s="396"/>
    </row>
    <row r="12" spans="2:23" hidden="1" outlineLevel="1" x14ac:dyDescent="0.25">
      <c r="B12" s="89"/>
      <c r="C12" s="77"/>
      <c r="D12" s="89"/>
      <c r="E12" s="89"/>
      <c r="F12" s="539">
        <v>2</v>
      </c>
      <c r="G12" s="296">
        <v>19</v>
      </c>
      <c r="N12" s="396"/>
    </row>
    <row r="13" spans="2:23" hidden="1" outlineLevel="1" x14ac:dyDescent="0.25">
      <c r="B13" s="89"/>
      <c r="C13" s="77"/>
      <c r="D13" s="89"/>
      <c r="E13" s="89"/>
      <c r="F13" s="539">
        <v>3</v>
      </c>
      <c r="G13" s="296">
        <v>20</v>
      </c>
      <c r="N13" s="396"/>
    </row>
    <row r="14" spans="2:23" hidden="1" outlineLevel="1" x14ac:dyDescent="0.25">
      <c r="B14" s="89"/>
      <c r="C14" s="77"/>
      <c r="D14" s="89"/>
      <c r="E14" s="89"/>
      <c r="F14" s="539">
        <v>4</v>
      </c>
      <c r="G14" s="296">
        <v>21</v>
      </c>
      <c r="N14" s="396"/>
    </row>
    <row r="15" spans="2:23" hidden="1" outlineLevel="1" x14ac:dyDescent="0.25">
      <c r="B15" s="89"/>
      <c r="C15" s="77"/>
      <c r="D15" s="89"/>
      <c r="E15" s="89"/>
      <c r="F15" s="539">
        <v>5</v>
      </c>
      <c r="G15" s="296">
        <v>22</v>
      </c>
      <c r="N15" s="396"/>
    </row>
    <row r="16" spans="2:23" ht="15.75" hidden="1" outlineLevel="1" thickBot="1" x14ac:dyDescent="0.3">
      <c r="B16" s="89"/>
      <c r="C16" s="77"/>
      <c r="D16" s="89"/>
      <c r="E16" s="89"/>
      <c r="F16" s="539"/>
      <c r="G16" s="296"/>
      <c r="N16" s="396"/>
    </row>
    <row r="17" spans="1:26" s="72" customFormat="1" ht="15.75" x14ac:dyDescent="0.25">
      <c r="A17"/>
      <c r="B17" s="72" t="s">
        <v>603</v>
      </c>
      <c r="D17" s="95">
        <v>0.2</v>
      </c>
      <c r="F17" s="249"/>
      <c r="H17"/>
      <c r="I17"/>
      <c r="J17"/>
      <c r="K17"/>
      <c r="L17"/>
      <c r="N17" s="870" t="str">
        <f>N2</f>
        <v>Progressives</v>
      </c>
      <c r="O17" s="597"/>
      <c r="P17" s="597"/>
      <c r="Q17" s="597"/>
      <c r="R17" s="597"/>
      <c r="S17" s="597"/>
      <c r="T17" s="598"/>
      <c r="W17" s="915" t="s">
        <v>1266</v>
      </c>
      <c r="X17" s="592"/>
      <c r="Y17" s="592"/>
      <c r="Z17" s="593"/>
    </row>
    <row r="18" spans="1:26" s="72" customFormat="1" ht="17.25" x14ac:dyDescent="0.25">
      <c r="A18"/>
      <c r="B18" s="72" t="s">
        <v>694</v>
      </c>
      <c r="D18" s="476">
        <v>5</v>
      </c>
      <c r="F18" s="249"/>
      <c r="H18"/>
      <c r="I18"/>
      <c r="J18"/>
      <c r="K18"/>
      <c r="L18"/>
      <c r="N18" s="1300" t="s">
        <v>3</v>
      </c>
      <c r="O18" s="1301"/>
      <c r="P18" s="96" t="s">
        <v>219</v>
      </c>
      <c r="Q18" s="97"/>
      <c r="R18" s="1304" t="s">
        <v>573</v>
      </c>
      <c r="S18" s="15" t="s">
        <v>608</v>
      </c>
      <c r="T18" s="271" t="s">
        <v>609</v>
      </c>
      <c r="W18" s="1309" t="s">
        <v>3</v>
      </c>
      <c r="X18" s="1304" t="s">
        <v>397</v>
      </c>
      <c r="Y18" s="1298" t="s">
        <v>573</v>
      </c>
      <c r="Z18" s="1320" t="s">
        <v>9</v>
      </c>
    </row>
    <row r="19" spans="1:26" s="72" customFormat="1" x14ac:dyDescent="0.25">
      <c r="A19"/>
      <c r="F19" s="10" t="s">
        <v>680</v>
      </c>
      <c r="G19" s="10" t="s">
        <v>568</v>
      </c>
      <c r="H19"/>
      <c r="I19"/>
      <c r="J19"/>
      <c r="K19" s="10" t="s">
        <v>622</v>
      </c>
      <c r="L19" s="10" t="s">
        <v>623</v>
      </c>
      <c r="N19" s="1302"/>
      <c r="O19" s="1303"/>
      <c r="P19" s="100" t="s">
        <v>597</v>
      </c>
      <c r="Q19" s="100" t="s">
        <v>596</v>
      </c>
      <c r="R19" s="1299"/>
      <c r="S19" s="100" t="s">
        <v>568</v>
      </c>
      <c r="T19" s="101" t="s">
        <v>568</v>
      </c>
      <c r="W19" s="1310"/>
      <c r="X19" s="1299"/>
      <c r="Y19" s="1299"/>
      <c r="Z19" s="1321"/>
    </row>
    <row r="20" spans="1:26" x14ac:dyDescent="0.25">
      <c r="F20" s="11">
        <v>1</v>
      </c>
      <c r="G20" s="260">
        <f>_xlfn.XLOOKUP(F20,$F$11:$F$15,$G$11:$G$15)</f>
        <v>18</v>
      </c>
      <c r="I20" s="528">
        <v>0.2</v>
      </c>
      <c r="K20" s="296">
        <v>179</v>
      </c>
      <c r="L20" s="529">
        <f>MROUND(PRODUCT(K20,(1+$I20)),5)</f>
        <v>215</v>
      </c>
      <c r="N20" s="102"/>
      <c r="P20" s="103"/>
      <c r="Q20" s="103"/>
      <c r="R20" s="104" t="s">
        <v>198</v>
      </c>
      <c r="S20" s="105">
        <f t="shared" ref="S20:S39" si="0">L20</f>
        <v>215</v>
      </c>
      <c r="T20" s="106">
        <f t="shared" ref="T20:T39" si="1">MROUND((1+$D$17)*($S20+$G20),$D$18)</f>
        <v>280</v>
      </c>
      <c r="W20" s="126"/>
      <c r="X20" s="1305">
        <v>1</v>
      </c>
      <c r="Y20" s="229" t="s">
        <v>198</v>
      </c>
      <c r="Z20" s="882" t="str">
        <f>_xlfn.XLOOKUP($F20,$X$48:$X$52,$Z$48:$Z$52)</f>
        <v>ASSY-PRG-XX-1</v>
      </c>
    </row>
    <row r="21" spans="1:26" x14ac:dyDescent="0.25">
      <c r="B21" t="s">
        <v>6</v>
      </c>
      <c r="C21" s="93">
        <v>0.2301</v>
      </c>
      <c r="D21" s="93">
        <v>0.36499999999999999</v>
      </c>
      <c r="E21" s="90"/>
      <c r="F21" s="11">
        <f t="shared" ref="F21:G23" si="2">F20</f>
        <v>1</v>
      </c>
      <c r="G21" s="252">
        <f t="shared" si="2"/>
        <v>18</v>
      </c>
      <c r="I21" s="528">
        <v>0.2</v>
      </c>
      <c r="K21" s="296">
        <v>154</v>
      </c>
      <c r="L21" s="529">
        <f t="shared" ref="L21:L39" si="3">MROUND(PRODUCT(K21,(1+$I21)),5)</f>
        <v>185</v>
      </c>
      <c r="N21" s="107" t="str">
        <f>_xlfn.CONCAT(TEXT($C21,"#.0000"),""""," - ",TEXT($D21,"#.000#"),"""")</f>
        <v>.2301" - .365"</v>
      </c>
      <c r="O21" s="108"/>
      <c r="P21" s="105" t="s">
        <v>581</v>
      </c>
      <c r="Q21" s="105" t="s">
        <v>216</v>
      </c>
      <c r="R21" s="104" t="s">
        <v>197</v>
      </c>
      <c r="S21" s="105">
        <f t="shared" si="0"/>
        <v>185</v>
      </c>
      <c r="T21" s="106">
        <f t="shared" si="1"/>
        <v>245</v>
      </c>
      <c r="W21" s="107" t="str">
        <f>_xlfn.CONCAT(TEXT($C21,"#.0000"),""""," - ",TEXT($D21,"#.000#"),"""")</f>
        <v>.2301" - .365"</v>
      </c>
      <c r="X21" s="1306"/>
      <c r="Y21" s="229" t="s">
        <v>197</v>
      </c>
      <c r="Z21" s="882" t="str">
        <f>_xlfn.XLOOKUP($F21,$X$54:$X$58,$Z$54:$Z$58)</f>
        <v>ASSY-PRG-X-1</v>
      </c>
    </row>
    <row r="22" spans="1:26" x14ac:dyDescent="0.25">
      <c r="B22" t="s">
        <v>576</v>
      </c>
      <c r="C22" s="94">
        <v>5.851</v>
      </c>
      <c r="D22" s="94">
        <v>9.27</v>
      </c>
      <c r="E22" s="90"/>
      <c r="F22" s="11">
        <f t="shared" si="2"/>
        <v>1</v>
      </c>
      <c r="G22" s="252">
        <f t="shared" si="2"/>
        <v>18</v>
      </c>
      <c r="I22" s="528">
        <v>0.2</v>
      </c>
      <c r="K22" s="296">
        <v>148</v>
      </c>
      <c r="L22" s="529">
        <f t="shared" si="3"/>
        <v>180</v>
      </c>
      <c r="N22" s="107" t="str">
        <f>_xlfn.CONCAT(TEXT($C22,"0.00#")," - ",TEXT($D22,"0.00#"),"mm")</f>
        <v>5.851 - 9.27mm</v>
      </c>
      <c r="O22" s="108"/>
      <c r="P22" s="268" t="s">
        <v>579</v>
      </c>
      <c r="Q22" s="268" t="s">
        <v>595</v>
      </c>
      <c r="R22" s="104" t="s">
        <v>209</v>
      </c>
      <c r="S22" s="105">
        <f t="shared" si="0"/>
        <v>180</v>
      </c>
      <c r="T22" s="106">
        <f t="shared" si="1"/>
        <v>240</v>
      </c>
      <c r="W22" s="107" t="str">
        <f>_xlfn.CONCAT(TEXT($C22,"0.00#")," - ",TEXT($D22,"0.00#"),"mm")</f>
        <v>5.851 - 9.27mm</v>
      </c>
      <c r="X22" s="1306"/>
      <c r="Y22" s="229" t="s">
        <v>209</v>
      </c>
      <c r="Z22" s="882" t="str">
        <f>_xlfn.XLOOKUP($F22,$X$60:$X$64,$Z$60:$Z$64)</f>
        <v>ASSY-PRG-Y-1</v>
      </c>
    </row>
    <row r="23" spans="1:26" x14ac:dyDescent="0.25">
      <c r="C23" s="93"/>
      <c r="D23" s="93"/>
      <c r="E23" s="90"/>
      <c r="F23" s="566">
        <f t="shared" si="2"/>
        <v>1</v>
      </c>
      <c r="G23" s="252">
        <f t="shared" si="2"/>
        <v>18</v>
      </c>
      <c r="I23" s="535">
        <v>0.2</v>
      </c>
      <c r="K23" s="530">
        <v>152</v>
      </c>
      <c r="L23" s="555">
        <f t="shared" si="3"/>
        <v>180</v>
      </c>
      <c r="N23" s="102"/>
      <c r="P23" s="109"/>
      <c r="Q23" s="269"/>
      <c r="R23" s="104" t="s">
        <v>196</v>
      </c>
      <c r="S23" s="105">
        <f t="shared" si="0"/>
        <v>180</v>
      </c>
      <c r="T23" s="106">
        <f t="shared" si="1"/>
        <v>240</v>
      </c>
      <c r="W23" s="102"/>
      <c r="X23" s="1306"/>
      <c r="Y23" s="229" t="s">
        <v>196</v>
      </c>
      <c r="Z23" s="882" t="str">
        <f>_xlfn.XLOOKUP($F23,$X$66:$X$70,$Z$66:$Z$70)</f>
        <v>ASSY-PRG-Z-1</v>
      </c>
    </row>
    <row r="24" spans="1:26" x14ac:dyDescent="0.25">
      <c r="C24" s="250"/>
      <c r="D24" s="250"/>
      <c r="F24" s="11">
        <v>2</v>
      </c>
      <c r="G24" s="260">
        <f>_xlfn.XLOOKUP(F24,$F$11:$F$15,$G$11:$G$15)</f>
        <v>19</v>
      </c>
      <c r="I24" s="528">
        <v>0.2</v>
      </c>
      <c r="K24" s="296">
        <v>180</v>
      </c>
      <c r="L24" s="529">
        <f t="shared" si="3"/>
        <v>215</v>
      </c>
      <c r="N24" s="931"/>
      <c r="O24" s="945"/>
      <c r="P24" s="946"/>
      <c r="Q24" s="957"/>
      <c r="R24" s="948" t="s">
        <v>198</v>
      </c>
      <c r="S24" s="949">
        <f t="shared" si="0"/>
        <v>215</v>
      </c>
      <c r="T24" s="534">
        <f t="shared" si="1"/>
        <v>280</v>
      </c>
      <c r="W24" s="931"/>
      <c r="X24" s="1293">
        <v>2</v>
      </c>
      <c r="Y24" s="234" t="s">
        <v>198</v>
      </c>
      <c r="Z24" s="934" t="str">
        <f>_xlfn.XLOOKUP($F24,$X$48:$X$52,$Z$48:$Z$52)</f>
        <v>ASSY-PRG-XX-2</v>
      </c>
    </row>
    <row r="25" spans="1:26" x14ac:dyDescent="0.25">
      <c r="B25" t="s">
        <v>6</v>
      </c>
      <c r="C25" s="93">
        <v>0.36509999999999998</v>
      </c>
      <c r="D25" s="93">
        <v>0.51</v>
      </c>
      <c r="E25" s="90"/>
      <c r="F25" s="11">
        <f t="shared" ref="F25:G27" si="4">F24</f>
        <v>2</v>
      </c>
      <c r="G25" s="252">
        <f t="shared" si="4"/>
        <v>19</v>
      </c>
      <c r="I25" s="528">
        <v>0.2</v>
      </c>
      <c r="K25" s="296">
        <v>156</v>
      </c>
      <c r="L25" s="529">
        <f t="shared" si="3"/>
        <v>185</v>
      </c>
      <c r="N25" s="114" t="str">
        <f>_xlfn.CONCAT(TEXT($C25,"#.0000"),""""," - ",TEXT($D25,"#.000#"),"""")</f>
        <v>.3651" - .510"</v>
      </c>
      <c r="O25" s="877"/>
      <c r="P25" s="115" t="s">
        <v>594</v>
      </c>
      <c r="Q25" s="115" t="s">
        <v>593</v>
      </c>
      <c r="R25" s="116" t="s">
        <v>197</v>
      </c>
      <c r="S25" s="115">
        <f t="shared" si="0"/>
        <v>185</v>
      </c>
      <c r="T25" s="117">
        <f t="shared" si="1"/>
        <v>245</v>
      </c>
      <c r="W25" s="114" t="str">
        <f>_xlfn.CONCAT(TEXT($C25,"#.0000"),""""," - ",TEXT($D25,"#.000#"),"""")</f>
        <v>.3651" - .510"</v>
      </c>
      <c r="X25" s="1294"/>
      <c r="Y25" s="238" t="s">
        <v>197</v>
      </c>
      <c r="Z25" s="885" t="str">
        <f>_xlfn.XLOOKUP($F25,$X$54:$X$58,$Z$54:$Z$58)</f>
        <v>ASSY-PRG-X-2</v>
      </c>
    </row>
    <row r="26" spans="1:26" x14ac:dyDescent="0.25">
      <c r="B26" t="s">
        <v>576</v>
      </c>
      <c r="C26" s="94">
        <v>9.2710000000000008</v>
      </c>
      <c r="D26" s="94">
        <v>12.95</v>
      </c>
      <c r="E26" s="90"/>
      <c r="F26" s="11">
        <f t="shared" si="4"/>
        <v>2</v>
      </c>
      <c r="G26" s="252">
        <f t="shared" si="4"/>
        <v>19</v>
      </c>
      <c r="I26" s="528">
        <v>0.2</v>
      </c>
      <c r="K26" s="296">
        <v>148</v>
      </c>
      <c r="L26" s="529">
        <f t="shared" si="3"/>
        <v>180</v>
      </c>
      <c r="N26" s="114" t="str">
        <f>_xlfn.CONCAT(TEXT($C26,"0.00#")," - ",TEXT($D26,"0.00#"),"mm")</f>
        <v>9.271 - 12.95mm</v>
      </c>
      <c r="O26" s="877"/>
      <c r="P26" s="270" t="s">
        <v>592</v>
      </c>
      <c r="Q26" s="118" t="s">
        <v>591</v>
      </c>
      <c r="R26" s="116" t="s">
        <v>209</v>
      </c>
      <c r="S26" s="115">
        <f t="shared" si="0"/>
        <v>180</v>
      </c>
      <c r="T26" s="117">
        <f t="shared" si="1"/>
        <v>240</v>
      </c>
      <c r="W26" s="114" t="str">
        <f>_xlfn.CONCAT(TEXT($C26,"0.00#")," - ",TEXT($D26,"0.00#"),"mm")</f>
        <v>9.271 - 12.95mm</v>
      </c>
      <c r="X26" s="1294"/>
      <c r="Y26" s="238" t="s">
        <v>209</v>
      </c>
      <c r="Z26" s="885" t="str">
        <f>_xlfn.XLOOKUP($F26,$X$60:$X$64,$Z$60:$Z$64)</f>
        <v>ASSY-PRG-Y-2</v>
      </c>
    </row>
    <row r="27" spans="1:26" x14ac:dyDescent="0.25">
      <c r="C27" s="93"/>
      <c r="D27" s="93"/>
      <c r="E27" s="90"/>
      <c r="F27" s="566">
        <f t="shared" si="4"/>
        <v>2</v>
      </c>
      <c r="G27" s="252">
        <f t="shared" si="4"/>
        <v>19</v>
      </c>
      <c r="I27" s="535">
        <v>0.2</v>
      </c>
      <c r="K27" s="530">
        <v>145</v>
      </c>
      <c r="L27" s="555">
        <f t="shared" si="3"/>
        <v>175</v>
      </c>
      <c r="N27" s="935"/>
      <c r="O27" s="939"/>
      <c r="P27" s="940"/>
      <c r="Q27" s="941"/>
      <c r="R27" s="942" t="s">
        <v>196</v>
      </c>
      <c r="S27" s="943">
        <f t="shared" si="0"/>
        <v>175</v>
      </c>
      <c r="T27" s="944">
        <f t="shared" si="1"/>
        <v>235</v>
      </c>
      <c r="W27" s="935"/>
      <c r="X27" s="1295"/>
      <c r="Y27" s="243" t="s">
        <v>196</v>
      </c>
      <c r="Z27" s="938" t="str">
        <f>_xlfn.XLOOKUP($F27,$X$66:$X$70,$Z$66:$Z$70)</f>
        <v>ASSY-PRG-Z-2</v>
      </c>
    </row>
    <row r="28" spans="1:26" x14ac:dyDescent="0.25">
      <c r="C28" s="250"/>
      <c r="D28" s="250"/>
      <c r="F28" s="11">
        <v>3</v>
      </c>
      <c r="G28" s="260">
        <f>_xlfn.XLOOKUP(F28,$F$11:$F$15,$G$11:$G$15)</f>
        <v>20</v>
      </c>
      <c r="I28" s="528">
        <v>0.2</v>
      </c>
      <c r="K28" s="296">
        <v>189</v>
      </c>
      <c r="L28" s="529">
        <f t="shared" si="3"/>
        <v>225</v>
      </c>
      <c r="N28" s="102"/>
      <c r="P28" s="109"/>
      <c r="Q28" s="269"/>
      <c r="R28" s="104" t="s">
        <v>198</v>
      </c>
      <c r="S28" s="105">
        <f t="shared" si="0"/>
        <v>225</v>
      </c>
      <c r="T28" s="106">
        <f t="shared" si="1"/>
        <v>295</v>
      </c>
      <c r="W28" s="102"/>
      <c r="X28" s="1306">
        <v>3</v>
      </c>
      <c r="Y28" s="229" t="s">
        <v>198</v>
      </c>
      <c r="Z28" s="882" t="str">
        <f>_xlfn.XLOOKUP($F28,$X$48:$X$52,$Z$48:$Z$52)</f>
        <v>ASSY-PRG-XX-3</v>
      </c>
    </row>
    <row r="29" spans="1:26" x14ac:dyDescent="0.25">
      <c r="B29" t="s">
        <v>6</v>
      </c>
      <c r="C29" s="93">
        <v>0.5101</v>
      </c>
      <c r="D29" s="93">
        <v>0.82499999999999996</v>
      </c>
      <c r="E29" s="90"/>
      <c r="F29" s="11">
        <f t="shared" ref="F29:G31" si="5">F28</f>
        <v>3</v>
      </c>
      <c r="G29" s="252">
        <f t="shared" si="5"/>
        <v>20</v>
      </c>
      <c r="I29" s="528">
        <v>0.2</v>
      </c>
      <c r="K29" s="296">
        <v>169</v>
      </c>
      <c r="L29" s="529">
        <f t="shared" si="3"/>
        <v>205</v>
      </c>
      <c r="N29" s="107" t="str">
        <f>_xlfn.CONCAT(TEXT($C29,"#.0000"),""""," - ",TEXT($D29,"#.000#"),"""")</f>
        <v>.5101" - .825"</v>
      </c>
      <c r="O29" s="108"/>
      <c r="P29" s="105" t="s">
        <v>590</v>
      </c>
      <c r="Q29" s="105" t="s">
        <v>589</v>
      </c>
      <c r="R29" s="104" t="s">
        <v>197</v>
      </c>
      <c r="S29" s="105">
        <f t="shared" si="0"/>
        <v>205</v>
      </c>
      <c r="T29" s="106">
        <f t="shared" si="1"/>
        <v>270</v>
      </c>
      <c r="W29" s="107" t="str">
        <f>_xlfn.CONCAT(TEXT($C29,"#.0000"),""""," - ",TEXT($D29,"#.000#"),"""")</f>
        <v>.5101" - .825"</v>
      </c>
      <c r="X29" s="1306"/>
      <c r="Y29" s="229" t="s">
        <v>197</v>
      </c>
      <c r="Z29" s="882" t="str">
        <f>_xlfn.XLOOKUP($F29,$X$54:$X$58,$Z$54:$Z$58)</f>
        <v>ASSY-PRG-X-3</v>
      </c>
    </row>
    <row r="30" spans="1:26" x14ac:dyDescent="0.25">
      <c r="B30" t="s">
        <v>576</v>
      </c>
      <c r="C30" s="94">
        <v>12.951000000000001</v>
      </c>
      <c r="D30" s="94">
        <v>20.96</v>
      </c>
      <c r="E30" s="90"/>
      <c r="F30" s="11">
        <f t="shared" si="5"/>
        <v>3</v>
      </c>
      <c r="G30" s="252">
        <f t="shared" si="5"/>
        <v>20</v>
      </c>
      <c r="I30" s="528">
        <v>0.2</v>
      </c>
      <c r="K30" s="296">
        <v>156</v>
      </c>
      <c r="L30" s="529">
        <f t="shared" si="3"/>
        <v>185</v>
      </c>
      <c r="N30" s="107" t="str">
        <f>_xlfn.CONCAT(TEXT($C30,"0.00#")," - ",TEXT($D30,"0.00#"),"mm")</f>
        <v>12.951 - 20.96mm</v>
      </c>
      <c r="O30" s="108"/>
      <c r="P30" s="268" t="s">
        <v>588</v>
      </c>
      <c r="Q30" s="109" t="s">
        <v>587</v>
      </c>
      <c r="R30" s="104" t="s">
        <v>209</v>
      </c>
      <c r="S30" s="105">
        <f t="shared" si="0"/>
        <v>185</v>
      </c>
      <c r="T30" s="106">
        <f t="shared" si="1"/>
        <v>245</v>
      </c>
      <c r="W30" s="107" t="str">
        <f>_xlfn.CONCAT(TEXT($C30,"0.00#")," - ",TEXT($D30,"0.00#"),"mm")</f>
        <v>12.951 - 20.96mm</v>
      </c>
      <c r="X30" s="1306"/>
      <c r="Y30" s="229" t="s">
        <v>209</v>
      </c>
      <c r="Z30" s="882" t="str">
        <f>_xlfn.XLOOKUP($F30,$X$60:$X$64,$Z$60:$Z$64)</f>
        <v>ASSY-PRG-Y-3</v>
      </c>
    </row>
    <row r="31" spans="1:26" x14ac:dyDescent="0.25">
      <c r="C31" s="93"/>
      <c r="D31" s="93"/>
      <c r="E31" s="90"/>
      <c r="F31" s="566">
        <f t="shared" si="5"/>
        <v>3</v>
      </c>
      <c r="G31" s="252">
        <f t="shared" si="5"/>
        <v>20</v>
      </c>
      <c r="I31" s="535">
        <v>0.2</v>
      </c>
      <c r="K31" s="530">
        <v>153</v>
      </c>
      <c r="L31" s="555">
        <f t="shared" si="3"/>
        <v>185</v>
      </c>
      <c r="N31" s="102"/>
      <c r="P31" s="109"/>
      <c r="Q31" s="110"/>
      <c r="R31" s="104" t="s">
        <v>196</v>
      </c>
      <c r="S31" s="105">
        <f t="shared" si="0"/>
        <v>185</v>
      </c>
      <c r="T31" s="106">
        <f t="shared" si="1"/>
        <v>245</v>
      </c>
      <c r="W31" s="102"/>
      <c r="X31" s="1306"/>
      <c r="Y31" s="229" t="s">
        <v>196</v>
      </c>
      <c r="Z31" s="882" t="str">
        <f>_xlfn.XLOOKUP($F31,$X$66:$X$70,$Z$66:$Z$70)</f>
        <v>ASSY-PRG-Z-3</v>
      </c>
    </row>
    <row r="32" spans="1:26" x14ac:dyDescent="0.25">
      <c r="C32" s="250"/>
      <c r="D32" s="250"/>
      <c r="F32" s="11">
        <v>4</v>
      </c>
      <c r="G32" s="260">
        <f>_xlfn.XLOOKUP(F32,$F$11:$F$15,$G$11:$G$15)</f>
        <v>21</v>
      </c>
      <c r="I32" s="528">
        <v>0.2</v>
      </c>
      <c r="K32" s="296">
        <v>214</v>
      </c>
      <c r="L32" s="529">
        <f t="shared" si="3"/>
        <v>255</v>
      </c>
      <c r="N32" s="931"/>
      <c r="O32" s="945"/>
      <c r="P32" s="946"/>
      <c r="Q32" s="947"/>
      <c r="R32" s="948" t="s">
        <v>198</v>
      </c>
      <c r="S32" s="949">
        <f t="shared" si="0"/>
        <v>255</v>
      </c>
      <c r="T32" s="534">
        <f t="shared" si="1"/>
        <v>330</v>
      </c>
      <c r="W32" s="931"/>
      <c r="X32" s="1293">
        <v>4</v>
      </c>
      <c r="Y32" s="234" t="s">
        <v>198</v>
      </c>
      <c r="Z32" s="934" t="str">
        <f>_xlfn.XLOOKUP($F32,$X$48:$X$52,$Z$48:$Z$52)</f>
        <v>ASSY-PRG-XX-4</v>
      </c>
    </row>
    <row r="33" spans="2:26" x14ac:dyDescent="0.25">
      <c r="B33" t="s">
        <v>6</v>
      </c>
      <c r="C33" s="93">
        <v>0.82509999999999994</v>
      </c>
      <c r="D33" s="93">
        <v>1.135</v>
      </c>
      <c r="E33" s="90"/>
      <c r="F33" s="11">
        <f t="shared" ref="F33:G35" si="6">F32</f>
        <v>4</v>
      </c>
      <c r="G33" s="252">
        <f t="shared" si="6"/>
        <v>21</v>
      </c>
      <c r="I33" s="528">
        <v>0.2</v>
      </c>
      <c r="K33" s="296">
        <v>183</v>
      </c>
      <c r="L33" s="529">
        <f t="shared" si="3"/>
        <v>220</v>
      </c>
      <c r="N33" s="114" t="str">
        <f>_xlfn.CONCAT(TEXT($C33,"#.0000"),""""," - ",TEXT($D33,"#.000#"),"""")</f>
        <v>.8251" - 1.135"</v>
      </c>
      <c r="O33" s="877"/>
      <c r="P33" s="115" t="s">
        <v>586</v>
      </c>
      <c r="Q33" s="115" t="s">
        <v>585</v>
      </c>
      <c r="R33" s="116" t="s">
        <v>197</v>
      </c>
      <c r="S33" s="115">
        <f t="shared" si="0"/>
        <v>220</v>
      </c>
      <c r="T33" s="117">
        <f t="shared" si="1"/>
        <v>290</v>
      </c>
      <c r="W33" s="114" t="str">
        <f>_xlfn.CONCAT(TEXT($C33,"#.0000"),""""," - ",TEXT($D33,"#.000#"),"""")</f>
        <v>.8251" - 1.135"</v>
      </c>
      <c r="X33" s="1294"/>
      <c r="Y33" s="238" t="s">
        <v>197</v>
      </c>
      <c r="Z33" s="885" t="str">
        <f>_xlfn.XLOOKUP($F33,$X$54:$X$58,$Z$54:$Z$58)</f>
        <v>ASSY-PRG-X-4</v>
      </c>
    </row>
    <row r="34" spans="2:26" x14ac:dyDescent="0.25">
      <c r="B34" t="s">
        <v>576</v>
      </c>
      <c r="C34" s="94">
        <v>20.960999999999999</v>
      </c>
      <c r="D34" s="94">
        <v>28.83</v>
      </c>
      <c r="E34" s="90"/>
      <c r="F34" s="11">
        <f t="shared" si="6"/>
        <v>4</v>
      </c>
      <c r="G34" s="252">
        <f t="shared" si="6"/>
        <v>21</v>
      </c>
      <c r="I34" s="528">
        <v>0.2</v>
      </c>
      <c r="K34" s="296">
        <v>173</v>
      </c>
      <c r="L34" s="529">
        <f t="shared" si="3"/>
        <v>210</v>
      </c>
      <c r="N34" s="114" t="str">
        <f>_xlfn.CONCAT(TEXT($C34,"0.00#")," - ",TEXT($D34,"0.00#"),"mm")</f>
        <v>20.961 - 28.83mm</v>
      </c>
      <c r="O34" s="877"/>
      <c r="P34" s="270" t="s">
        <v>584</v>
      </c>
      <c r="Q34" s="118" t="s">
        <v>583</v>
      </c>
      <c r="R34" s="116" t="s">
        <v>209</v>
      </c>
      <c r="S34" s="115">
        <f t="shared" si="0"/>
        <v>210</v>
      </c>
      <c r="T34" s="117">
        <f t="shared" si="1"/>
        <v>275</v>
      </c>
      <c r="W34" s="114" t="str">
        <f>_xlfn.CONCAT(TEXT($C34,"0.00#")," - ",TEXT($D34,"0.00#"),"mm")</f>
        <v>20.961 - 28.83mm</v>
      </c>
      <c r="X34" s="1294"/>
      <c r="Y34" s="238" t="s">
        <v>209</v>
      </c>
      <c r="Z34" s="885" t="str">
        <f>_xlfn.XLOOKUP($F34,$X$60:$X$64,$Z$60:$Z$64)</f>
        <v>ASSY-PRG-Y-4</v>
      </c>
    </row>
    <row r="35" spans="2:26" x14ac:dyDescent="0.25">
      <c r="C35" s="93"/>
      <c r="D35" s="93"/>
      <c r="E35" s="90"/>
      <c r="F35" s="566">
        <f t="shared" si="6"/>
        <v>4</v>
      </c>
      <c r="G35" s="252">
        <f t="shared" si="6"/>
        <v>21</v>
      </c>
      <c r="I35" s="535">
        <v>0.2</v>
      </c>
      <c r="K35" s="530">
        <v>171</v>
      </c>
      <c r="L35" s="555">
        <f t="shared" si="3"/>
        <v>205</v>
      </c>
      <c r="N35" s="935"/>
      <c r="O35" s="939"/>
      <c r="P35" s="940"/>
      <c r="Q35" s="958"/>
      <c r="R35" s="942" t="s">
        <v>196</v>
      </c>
      <c r="S35" s="943">
        <f t="shared" si="0"/>
        <v>205</v>
      </c>
      <c r="T35" s="944">
        <f t="shared" si="1"/>
        <v>270</v>
      </c>
      <c r="W35" s="935"/>
      <c r="X35" s="1295"/>
      <c r="Y35" s="243" t="s">
        <v>196</v>
      </c>
      <c r="Z35" s="938" t="str">
        <f>_xlfn.XLOOKUP($F35,$X$66:$X$70,$Z$66:$Z$70)</f>
        <v>ASSY-PRG-Z-4</v>
      </c>
    </row>
    <row r="36" spans="2:26" x14ac:dyDescent="0.25">
      <c r="C36" s="250"/>
      <c r="D36" s="250"/>
      <c r="F36" s="11">
        <v>5</v>
      </c>
      <c r="G36" s="260">
        <f>_xlfn.XLOOKUP(F36,$F$11:$F$15,$G$11:$G$15)</f>
        <v>22</v>
      </c>
      <c r="I36" s="528">
        <v>0.2</v>
      </c>
      <c r="K36" s="296">
        <v>242</v>
      </c>
      <c r="L36" s="529">
        <f t="shared" si="3"/>
        <v>290</v>
      </c>
      <c r="N36" s="102"/>
      <c r="P36" s="109"/>
      <c r="Q36" s="110"/>
      <c r="R36" s="104" t="s">
        <v>198</v>
      </c>
      <c r="S36" s="105">
        <f t="shared" si="0"/>
        <v>290</v>
      </c>
      <c r="T36" s="106">
        <f t="shared" si="1"/>
        <v>375</v>
      </c>
      <c r="W36" s="102"/>
      <c r="X36" s="1291">
        <v>5</v>
      </c>
      <c r="Y36" s="229" t="s">
        <v>198</v>
      </c>
      <c r="Z36" s="882" t="str">
        <f>_xlfn.XLOOKUP($F36,$X$48:$X$52,$Z$48:$Z$52)</f>
        <v>ASSY-PRG-XX-5</v>
      </c>
    </row>
    <row r="37" spans="2:26" x14ac:dyDescent="0.25">
      <c r="B37" t="s">
        <v>6</v>
      </c>
      <c r="C37" s="93">
        <v>1.1351</v>
      </c>
      <c r="D37" s="93">
        <v>1.51</v>
      </c>
      <c r="E37" s="90"/>
      <c r="F37" s="11">
        <f t="shared" ref="F37:G39" si="7">F36</f>
        <v>5</v>
      </c>
      <c r="G37" s="252">
        <f t="shared" si="7"/>
        <v>22</v>
      </c>
      <c r="I37" s="528">
        <v>0.2</v>
      </c>
      <c r="K37" s="296">
        <v>202</v>
      </c>
      <c r="L37" s="529">
        <f t="shared" si="3"/>
        <v>240</v>
      </c>
      <c r="N37" s="107" t="str">
        <f>_xlfn.CONCAT(TEXT($C37,"#.0000"),""""," - ",TEXT($D37,"#.000#"),"""")</f>
        <v>1.1351" - 1.510"</v>
      </c>
      <c r="O37" s="108"/>
      <c r="P37" s="105" t="s">
        <v>582</v>
      </c>
      <c r="Q37" s="268" t="s">
        <v>581</v>
      </c>
      <c r="R37" s="104" t="s">
        <v>197</v>
      </c>
      <c r="S37" s="105">
        <f t="shared" si="0"/>
        <v>240</v>
      </c>
      <c r="T37" s="106">
        <f t="shared" si="1"/>
        <v>315</v>
      </c>
      <c r="W37" s="107" t="str">
        <f>_xlfn.CONCAT(TEXT($C37,"#.0000"),""""," - ",TEXT($D37,"#.000#"),"""")</f>
        <v>1.1351" - 1.510"</v>
      </c>
      <c r="X37" s="1291"/>
      <c r="Y37" s="229" t="s">
        <v>197</v>
      </c>
      <c r="Z37" s="882" t="str">
        <f>_xlfn.XLOOKUP($F37,$X$54:$X$58,$Z$54:$Z$58)</f>
        <v>ASSY-PRG-X-5</v>
      </c>
    </row>
    <row r="38" spans="2:26" x14ac:dyDescent="0.25">
      <c r="B38" t="s">
        <v>576</v>
      </c>
      <c r="C38" s="94">
        <v>28.831</v>
      </c>
      <c r="D38" s="94">
        <v>38.35</v>
      </c>
      <c r="E38" s="90"/>
      <c r="F38" s="11">
        <f t="shared" si="7"/>
        <v>5</v>
      </c>
      <c r="G38" s="252">
        <f t="shared" si="7"/>
        <v>22</v>
      </c>
      <c r="I38" s="528">
        <v>0.2</v>
      </c>
      <c r="K38" s="296">
        <v>180</v>
      </c>
      <c r="L38" s="529">
        <f t="shared" si="3"/>
        <v>215</v>
      </c>
      <c r="N38" s="107" t="str">
        <f>_xlfn.CONCAT(TEXT($C38,"0.00#")," - ",TEXT($D38,"0.00#"),"mm")</f>
        <v>28.831 - 38.35mm</v>
      </c>
      <c r="O38" s="108"/>
      <c r="P38" s="268" t="s">
        <v>580</v>
      </c>
      <c r="Q38" s="151" t="s">
        <v>579</v>
      </c>
      <c r="R38" s="104" t="s">
        <v>209</v>
      </c>
      <c r="S38" s="105">
        <f t="shared" si="0"/>
        <v>215</v>
      </c>
      <c r="T38" s="106">
        <f t="shared" si="1"/>
        <v>285</v>
      </c>
      <c r="W38" s="107" t="str">
        <f>_xlfn.CONCAT(TEXT($C38,"0.00#")," - ",TEXT($D38,"0.00#"),"mm")</f>
        <v>28.831 - 38.35mm</v>
      </c>
      <c r="X38" s="1291"/>
      <c r="Y38" s="229" t="s">
        <v>209</v>
      </c>
      <c r="Z38" s="882" t="str">
        <f>_xlfn.XLOOKUP($F38,$X$60:$X$64,$Z$60:$Z$64)</f>
        <v>ASSY-PRG-Y-5</v>
      </c>
    </row>
    <row r="39" spans="2:26" ht="15.75" thickBot="1" x14ac:dyDescent="0.3">
      <c r="B39" s="90"/>
      <c r="C39" s="90"/>
      <c r="D39" s="90"/>
      <c r="E39" s="90"/>
      <c r="F39" s="11">
        <f t="shared" si="7"/>
        <v>5</v>
      </c>
      <c r="G39" s="252">
        <f t="shared" si="7"/>
        <v>22</v>
      </c>
      <c r="I39" s="535">
        <v>0.2</v>
      </c>
      <c r="K39" s="530">
        <v>176</v>
      </c>
      <c r="L39" s="555">
        <f t="shared" si="3"/>
        <v>210</v>
      </c>
      <c r="N39" s="120"/>
      <c r="O39" s="121"/>
      <c r="P39" s="122"/>
      <c r="Q39" s="122"/>
      <c r="R39" s="123" t="s">
        <v>196</v>
      </c>
      <c r="S39" s="124">
        <f t="shared" si="0"/>
        <v>210</v>
      </c>
      <c r="T39" s="125">
        <f t="shared" si="1"/>
        <v>280</v>
      </c>
      <c r="W39" s="135"/>
      <c r="X39" s="1297"/>
      <c r="Y39" s="247" t="s">
        <v>196</v>
      </c>
      <c r="Z39" s="888" t="str">
        <f>_xlfn.XLOOKUP($F39,$X$66:$X$70,$Z$66:$Z$70)</f>
        <v>ASSY-PRG-Z-5</v>
      </c>
    </row>
    <row r="40" spans="2:26" ht="8.1" customHeight="1" x14ac:dyDescent="0.25"/>
    <row r="41" spans="2:26" x14ac:dyDescent="0.25">
      <c r="B41" s="396"/>
      <c r="N41" s="557" t="s">
        <v>743</v>
      </c>
    </row>
    <row r="42" spans="2:26" x14ac:dyDescent="0.25">
      <c r="B42" s="437" t="s">
        <v>670</v>
      </c>
      <c r="N42" s="439" t="str">
        <f>_xlfn.CONCAT($F$5,"  ",B42)</f>
        <v>•  Maximum Go/NoGo step is .025"</v>
      </c>
    </row>
    <row r="43" spans="2:26" x14ac:dyDescent="0.25">
      <c r="B43" s="440" t="s">
        <v>698</v>
      </c>
      <c r="N43" s="439" t="str">
        <f>_xlfn.CONCAT($F$5,"  ",B43)</f>
        <v>•  Go and NoGo sections are separated by a 1/8" recess</v>
      </c>
    </row>
    <row r="44" spans="2:26" x14ac:dyDescent="0.25">
      <c r="B44" s="440" t="s">
        <v>671</v>
      </c>
      <c r="N44" s="439" t="str">
        <f>_xlfn.CONCAT($F$5,"  ",B44)</f>
        <v>•  Tabulated member lengths exclude the length of the shank</v>
      </c>
    </row>
    <row r="45" spans="2:26" ht="8.1" customHeight="1" x14ac:dyDescent="0.25">
      <c r="B45" s="440"/>
      <c r="N45" s="439"/>
    </row>
    <row r="46" spans="2:26" x14ac:dyDescent="0.25">
      <c r="B46" s="440"/>
      <c r="N46" s="17" t="s">
        <v>957</v>
      </c>
      <c r="Z46" s="18"/>
    </row>
    <row r="47" spans="2:26" collapsed="1" x14ac:dyDescent="0.25">
      <c r="B47" s="440"/>
      <c r="N47" s="439"/>
      <c r="Z47" s="18"/>
    </row>
    <row r="48" spans="2:26" ht="15.75" hidden="1" outlineLevel="1" x14ac:dyDescent="0.25">
      <c r="N48" s="23"/>
      <c r="R48" s="18">
        <v>1</v>
      </c>
      <c r="S48" s="18" t="s">
        <v>198</v>
      </c>
      <c r="T48" s="11" cm="1">
        <f t="array" ref="T48">SUMPRODUCT(T$20:T$39,(R48=$F$20:$F$39)*($S48=$R$20:$R$39))</f>
        <v>280</v>
      </c>
      <c r="U48" s="11"/>
      <c r="V48" s="11"/>
      <c r="W48" s="11"/>
      <c r="X48" s="18">
        <v>1</v>
      </c>
      <c r="Y48" s="18" t="s">
        <v>198</v>
      </c>
      <c r="Z48" s="18" t="s">
        <v>1268</v>
      </c>
    </row>
    <row r="49" spans="1:26" hidden="1" outlineLevel="1" x14ac:dyDescent="0.25">
      <c r="R49" s="18">
        <v>2</v>
      </c>
      <c r="S49" s="12" t="str">
        <f>S48</f>
        <v>XX</v>
      </c>
      <c r="T49" s="11" cm="1">
        <f t="array" ref="T49">SUMPRODUCT(T$20:T$39,(R49=$F$20:$F$39)*($S49=$R$20:$R$39))</f>
        <v>280</v>
      </c>
      <c r="U49" s="11"/>
      <c r="V49" s="11"/>
      <c r="W49" s="11"/>
      <c r="X49" s="18">
        <v>2</v>
      </c>
      <c r="Y49" s="18" t="s">
        <v>198</v>
      </c>
      <c r="Z49" s="18" t="s">
        <v>1269</v>
      </c>
    </row>
    <row r="50" spans="1:26" hidden="1" outlineLevel="1" x14ac:dyDescent="0.25">
      <c r="R50" s="18">
        <v>3</v>
      </c>
      <c r="S50" s="12" t="str">
        <f t="shared" ref="S50:S52" si="8">S49</f>
        <v>XX</v>
      </c>
      <c r="T50" s="11" cm="1">
        <f t="array" ref="T50">SUMPRODUCT(T$20:T$39,(R50=$F$20:$F$39)*($S50=$R$20:$R$39))</f>
        <v>295</v>
      </c>
      <c r="U50" s="11"/>
      <c r="V50" s="11"/>
      <c r="W50" s="11"/>
      <c r="X50" s="18">
        <v>3</v>
      </c>
      <c r="Y50" s="18" t="s">
        <v>198</v>
      </c>
      <c r="Z50" s="18" t="s">
        <v>1270</v>
      </c>
    </row>
    <row r="51" spans="1:26" hidden="1" outlineLevel="1" x14ac:dyDescent="0.25">
      <c r="R51" s="18">
        <v>4</v>
      </c>
      <c r="S51" s="12" t="str">
        <f t="shared" si="8"/>
        <v>XX</v>
      </c>
      <c r="T51" s="11" cm="1">
        <f t="array" ref="T51">SUMPRODUCT(T$20:T$39,(R51=$F$20:$F$39)*($S51=$R$20:$R$39))</f>
        <v>330</v>
      </c>
      <c r="U51" s="11"/>
      <c r="V51" s="11"/>
      <c r="W51" s="11"/>
      <c r="X51" s="18">
        <v>4</v>
      </c>
      <c r="Y51" s="18" t="s">
        <v>198</v>
      </c>
      <c r="Z51" s="18" t="s">
        <v>1271</v>
      </c>
    </row>
    <row r="52" spans="1:26" hidden="1" outlineLevel="1" x14ac:dyDescent="0.25">
      <c r="N52" s="34"/>
      <c r="R52" s="18">
        <v>5</v>
      </c>
      <c r="S52" s="12" t="str">
        <f t="shared" si="8"/>
        <v>XX</v>
      </c>
      <c r="T52" s="11" cm="1">
        <f t="array" ref="T52">SUMPRODUCT(T$20:T$39,(R52=$F$20:$F$39)*($S52=$R$20:$R$39))</f>
        <v>375</v>
      </c>
      <c r="U52" s="11"/>
      <c r="V52" s="11"/>
      <c r="W52" s="11"/>
      <c r="X52" s="18">
        <v>5</v>
      </c>
      <c r="Y52" s="18" t="s">
        <v>198</v>
      </c>
      <c r="Z52" s="18" t="s">
        <v>1272</v>
      </c>
    </row>
    <row r="53" spans="1:26" hidden="1" outlineLevel="1" x14ac:dyDescent="0.25">
      <c r="S53" s="11"/>
      <c r="X53" s="18"/>
      <c r="Y53" s="18"/>
      <c r="Z53" s="18"/>
    </row>
    <row r="54" spans="1:26" hidden="1" outlineLevel="1" x14ac:dyDescent="0.25">
      <c r="R54" s="18">
        <v>1</v>
      </c>
      <c r="S54" s="18" t="s">
        <v>197</v>
      </c>
      <c r="T54" s="11" cm="1">
        <f t="array" ref="T54">SUMPRODUCT(T$20:T$39,(R54=$F$20:$F$39)*($S54=$R$20:$R$39))</f>
        <v>245</v>
      </c>
      <c r="U54" s="11"/>
      <c r="V54" s="11"/>
      <c r="W54" s="11"/>
      <c r="X54" s="18">
        <v>1</v>
      </c>
      <c r="Y54" s="18" t="s">
        <v>197</v>
      </c>
      <c r="Z54" s="18" t="s">
        <v>1273</v>
      </c>
    </row>
    <row r="55" spans="1:26" hidden="1" outlineLevel="1" x14ac:dyDescent="0.25">
      <c r="R55" s="18">
        <v>2</v>
      </c>
      <c r="S55" s="12" t="str">
        <f>S54</f>
        <v>X</v>
      </c>
      <c r="T55" s="11" cm="1">
        <f t="array" ref="T55">SUMPRODUCT(T$20:T$39,(R55=$F$20:$F$39)*($S55=$R$20:$R$39))</f>
        <v>245</v>
      </c>
      <c r="U55" s="11"/>
      <c r="V55" s="11"/>
      <c r="W55" s="11"/>
      <c r="X55" s="18">
        <v>2</v>
      </c>
      <c r="Y55" s="18" t="s">
        <v>197</v>
      </c>
      <c r="Z55" s="18" t="s">
        <v>1274</v>
      </c>
    </row>
    <row r="56" spans="1:26" hidden="1" outlineLevel="1" x14ac:dyDescent="0.25">
      <c r="N56" s="34"/>
      <c r="R56" s="18">
        <v>3</v>
      </c>
      <c r="S56" s="12" t="str">
        <f t="shared" ref="S56:S58" si="9">S55</f>
        <v>X</v>
      </c>
      <c r="T56" s="11" cm="1">
        <f t="array" ref="T56">SUMPRODUCT(T$20:T$39,(R56=$F$20:$F$39)*($S56=$R$20:$R$39))</f>
        <v>270</v>
      </c>
      <c r="U56" s="11"/>
      <c r="V56" s="11"/>
      <c r="W56" s="11"/>
      <c r="X56" s="18">
        <v>3</v>
      </c>
      <c r="Y56" s="18" t="s">
        <v>197</v>
      </c>
      <c r="Z56" s="18" t="s">
        <v>1275</v>
      </c>
    </row>
    <row r="57" spans="1:26" hidden="1" outlineLevel="1" x14ac:dyDescent="0.25">
      <c r="R57" s="18">
        <v>4</v>
      </c>
      <c r="S57" s="12" t="str">
        <f t="shared" si="9"/>
        <v>X</v>
      </c>
      <c r="T57" s="11" cm="1">
        <f t="array" ref="T57">SUMPRODUCT(T$20:T$39,(R57=$F$20:$F$39)*($S57=$R$20:$R$39))</f>
        <v>290</v>
      </c>
      <c r="U57" s="11"/>
      <c r="V57" s="11"/>
      <c r="W57" s="11"/>
      <c r="X57" s="18">
        <v>4</v>
      </c>
      <c r="Y57" s="18" t="s">
        <v>197</v>
      </c>
      <c r="Z57" s="18" t="s">
        <v>1276</v>
      </c>
    </row>
    <row r="58" spans="1:26" hidden="1" outlineLevel="1" x14ac:dyDescent="0.25">
      <c r="R58" s="18">
        <v>5</v>
      </c>
      <c r="S58" s="12" t="str">
        <f t="shared" si="9"/>
        <v>X</v>
      </c>
      <c r="T58" s="11" cm="1">
        <f t="array" ref="T58">SUMPRODUCT(T$20:T$39,(R58=$F$20:$F$39)*($S58=$R$20:$R$39))</f>
        <v>315</v>
      </c>
      <c r="U58" s="11"/>
      <c r="V58" s="11"/>
      <c r="W58" s="11"/>
      <c r="X58" s="18">
        <v>5</v>
      </c>
      <c r="Y58" s="18" t="s">
        <v>197</v>
      </c>
      <c r="Z58" s="18" t="s">
        <v>1277</v>
      </c>
    </row>
    <row r="59" spans="1:26" hidden="1" outlineLevel="1" x14ac:dyDescent="0.25">
      <c r="S59" s="11"/>
      <c r="X59" s="18"/>
      <c r="Y59" s="18"/>
      <c r="Z59" s="18"/>
    </row>
    <row r="60" spans="1:26" hidden="1" outlineLevel="1" x14ac:dyDescent="0.25">
      <c r="R60" s="18">
        <v>1</v>
      </c>
      <c r="S60" s="18" t="s">
        <v>209</v>
      </c>
      <c r="T60" s="11" cm="1">
        <f t="array" ref="T60">SUMPRODUCT(T$20:T$39,(R60=$F$20:$F$39)*($S60=$R$20:$R$39))</f>
        <v>240</v>
      </c>
      <c r="U60" s="11"/>
      <c r="V60" s="11"/>
      <c r="W60" s="11"/>
      <c r="X60" s="18">
        <v>1</v>
      </c>
      <c r="Y60" s="18" t="s">
        <v>209</v>
      </c>
      <c r="Z60" s="18" t="s">
        <v>1278</v>
      </c>
    </row>
    <row r="61" spans="1:26" hidden="1" outlineLevel="1" x14ac:dyDescent="0.25">
      <c r="A61" s="46"/>
      <c r="R61" s="18">
        <v>2</v>
      </c>
      <c r="S61" s="12" t="str">
        <f>S60</f>
        <v>Y</v>
      </c>
      <c r="T61" s="11" cm="1">
        <f t="array" ref="T61">SUMPRODUCT(T$20:T$39,(R61=$F$20:$F$39)*($S61=$R$20:$R$39))</f>
        <v>240</v>
      </c>
      <c r="U61" s="11"/>
      <c r="V61" s="11"/>
      <c r="W61" s="11"/>
      <c r="X61" s="18">
        <v>2</v>
      </c>
      <c r="Y61" s="18" t="s">
        <v>209</v>
      </c>
      <c r="Z61" s="18" t="s">
        <v>1279</v>
      </c>
    </row>
    <row r="62" spans="1:26" hidden="1" outlineLevel="1" x14ac:dyDescent="0.25">
      <c r="R62" s="18">
        <v>3</v>
      </c>
      <c r="S62" s="12" t="str">
        <f t="shared" ref="S62:S64" si="10">S61</f>
        <v>Y</v>
      </c>
      <c r="T62" s="11" cm="1">
        <f t="array" ref="T62">SUMPRODUCT(T$20:T$39,(R62=$F$20:$F$39)*($S62=$R$20:$R$39))</f>
        <v>245</v>
      </c>
      <c r="U62" s="11"/>
      <c r="V62" s="11"/>
      <c r="W62" s="11"/>
      <c r="X62" s="18">
        <v>3</v>
      </c>
      <c r="Y62" s="18" t="s">
        <v>209</v>
      </c>
      <c r="Z62" s="18" t="s">
        <v>1280</v>
      </c>
    </row>
    <row r="63" spans="1:26" hidden="1" outlineLevel="1" x14ac:dyDescent="0.25">
      <c r="R63" s="18">
        <v>4</v>
      </c>
      <c r="S63" s="12" t="str">
        <f t="shared" si="10"/>
        <v>Y</v>
      </c>
      <c r="T63" s="11" cm="1">
        <f t="array" ref="T63">SUMPRODUCT(T$20:T$39,(R63=$F$20:$F$39)*($S63=$R$20:$R$39))</f>
        <v>275</v>
      </c>
      <c r="U63" s="11"/>
      <c r="V63" s="11"/>
      <c r="W63" s="11"/>
      <c r="X63" s="18">
        <v>4</v>
      </c>
      <c r="Y63" s="18" t="s">
        <v>209</v>
      </c>
      <c r="Z63" s="18" t="s">
        <v>1281</v>
      </c>
    </row>
    <row r="64" spans="1:26" hidden="1" outlineLevel="1" x14ac:dyDescent="0.25">
      <c r="R64" s="18">
        <v>5</v>
      </c>
      <c r="S64" s="12" t="str">
        <f t="shared" si="10"/>
        <v>Y</v>
      </c>
      <c r="T64" s="11" cm="1">
        <f t="array" ref="T64">SUMPRODUCT(T$20:T$39,(R64=$F$20:$F$39)*($S64=$R$20:$R$39))</f>
        <v>285</v>
      </c>
      <c r="U64" s="11"/>
      <c r="V64" s="11"/>
      <c r="W64" s="11"/>
      <c r="X64" s="18">
        <v>5</v>
      </c>
      <c r="Y64" s="18" t="s">
        <v>209</v>
      </c>
      <c r="Z64" s="18" t="s">
        <v>1282</v>
      </c>
    </row>
    <row r="65" spans="18:26" hidden="1" outlineLevel="1" x14ac:dyDescent="0.25">
      <c r="S65" s="11"/>
      <c r="X65" s="18"/>
      <c r="Y65" s="18"/>
      <c r="Z65" s="18"/>
    </row>
    <row r="66" spans="18:26" hidden="1" outlineLevel="1" x14ac:dyDescent="0.25">
      <c r="R66" s="18">
        <v>1</v>
      </c>
      <c r="S66" s="18" t="s">
        <v>196</v>
      </c>
      <c r="T66" s="11" cm="1">
        <f t="array" ref="T66">SUMPRODUCT(T$20:T$39,(R66=$F$20:$F$39)*($S66=$R$20:$R$39))</f>
        <v>240</v>
      </c>
      <c r="U66" s="11"/>
      <c r="V66" s="11"/>
      <c r="W66" s="11"/>
      <c r="X66" s="18">
        <v>1</v>
      </c>
      <c r="Y66" s="18" t="s">
        <v>196</v>
      </c>
      <c r="Z66" s="18" t="s">
        <v>1283</v>
      </c>
    </row>
    <row r="67" spans="18:26" hidden="1" outlineLevel="1" x14ac:dyDescent="0.25">
      <c r="R67" s="18">
        <v>2</v>
      </c>
      <c r="S67" s="12" t="str">
        <f>S66</f>
        <v>Z</v>
      </c>
      <c r="T67" s="11" cm="1">
        <f t="array" ref="T67">SUMPRODUCT(T$20:T$39,(R67=$F$20:$F$39)*($S67=$R$20:$R$39))</f>
        <v>235</v>
      </c>
      <c r="U67" s="11"/>
      <c r="V67" s="11"/>
      <c r="W67" s="11"/>
      <c r="X67" s="18">
        <v>2</v>
      </c>
      <c r="Y67" s="18" t="s">
        <v>196</v>
      </c>
      <c r="Z67" s="18" t="s">
        <v>1284</v>
      </c>
    </row>
    <row r="68" spans="18:26" hidden="1" outlineLevel="1" x14ac:dyDescent="0.25">
      <c r="R68" s="18">
        <v>3</v>
      </c>
      <c r="S68" s="12" t="str">
        <f t="shared" ref="S68:S70" si="11">S67</f>
        <v>Z</v>
      </c>
      <c r="T68" s="11" cm="1">
        <f t="array" ref="T68">SUMPRODUCT(T$20:T$39,(R68=$F$20:$F$39)*($S68=$R$20:$R$39))</f>
        <v>245</v>
      </c>
      <c r="U68" s="11"/>
      <c r="V68" s="11"/>
      <c r="W68" s="11"/>
      <c r="X68" s="18">
        <v>3</v>
      </c>
      <c r="Y68" s="18" t="s">
        <v>196</v>
      </c>
      <c r="Z68" s="18" t="s">
        <v>1285</v>
      </c>
    </row>
    <row r="69" spans="18:26" hidden="1" outlineLevel="1" x14ac:dyDescent="0.25">
      <c r="R69" s="18">
        <v>4</v>
      </c>
      <c r="S69" s="12" t="str">
        <f t="shared" si="11"/>
        <v>Z</v>
      </c>
      <c r="T69" s="11" cm="1">
        <f t="array" ref="T69">SUMPRODUCT(T$20:T$39,(R69=$F$20:$F$39)*($S69=$R$20:$R$39))</f>
        <v>270</v>
      </c>
      <c r="U69" s="11"/>
      <c r="V69" s="11"/>
      <c r="W69" s="11"/>
      <c r="X69" s="18">
        <v>4</v>
      </c>
      <c r="Y69" s="18" t="s">
        <v>196</v>
      </c>
      <c r="Z69" s="18" t="s">
        <v>1286</v>
      </c>
    </row>
    <row r="70" spans="18:26" hidden="1" outlineLevel="1" x14ac:dyDescent="0.25">
      <c r="R70" s="18">
        <v>5</v>
      </c>
      <c r="S70" s="12" t="str">
        <f t="shared" si="11"/>
        <v>Z</v>
      </c>
      <c r="T70" s="11" cm="1">
        <f t="array" ref="T70">SUMPRODUCT(T$20:T$39,(R70=$F$20:$F$39)*($S70=$R$20:$R$39))</f>
        <v>280</v>
      </c>
      <c r="U70" s="11"/>
      <c r="V70" s="11"/>
      <c r="W70" s="11"/>
      <c r="X70" s="18">
        <v>5</v>
      </c>
      <c r="Y70" s="18" t="s">
        <v>196</v>
      </c>
      <c r="Z70" s="18" t="s">
        <v>1287</v>
      </c>
    </row>
    <row r="94" spans="26:26" x14ac:dyDescent="0.25">
      <c r="Z94" s="18"/>
    </row>
    <row r="95" spans="26:26" x14ac:dyDescent="0.25">
      <c r="Z95" s="18"/>
    </row>
    <row r="96" spans="26:26" x14ac:dyDescent="0.25">
      <c r="Z96" s="18"/>
    </row>
    <row r="97" spans="26:26" x14ac:dyDescent="0.25">
      <c r="Z97" s="18"/>
    </row>
  </sheetData>
  <sheetProtection algorithmName="SHA-512" hashValue="ASPm/EirdCywzK9nmKWDCXNogWaYD7JSDBarw44LdUKUpjvdoHhqkqv+ky66jm24hp0L80svNIuJFhJ9jucHZA==" saltValue="JTZO+HOgH9aqmjmq8B94sw==" spinCount="100000" sheet="1" objects="1" scenarios="1"/>
  <mergeCells count="11">
    <mergeCell ref="X28:X31"/>
    <mergeCell ref="X32:X35"/>
    <mergeCell ref="X36:X39"/>
    <mergeCell ref="Z18:Z19"/>
    <mergeCell ref="X20:X23"/>
    <mergeCell ref="X24:X27"/>
    <mergeCell ref="N18:O19"/>
    <mergeCell ref="R18:R19"/>
    <mergeCell ref="W18:W19"/>
    <mergeCell ref="X18:X19"/>
    <mergeCell ref="Y18:Y19"/>
  </mergeCells>
  <conditionalFormatting sqref="B42:B43">
    <cfRule type="expression" dxfId="14" priority="2">
      <formula>$P42="y"</formula>
    </cfRule>
  </conditionalFormatting>
  <conditionalFormatting sqref="B44:B47 N5:N16">
    <cfRule type="expression" dxfId="13" priority="3">
      <formula>#REF!="y"</formula>
    </cfRule>
  </conditionalFormatting>
  <conditionalFormatting sqref="N41">
    <cfRule type="expression" dxfId="12" priority="4">
      <formula>$P41="y"</formula>
    </cfRule>
  </conditionalFormatting>
  <conditionalFormatting sqref="N42:N45 N47">
    <cfRule type="expression" dxfId="11" priority="1">
      <formula>#REF!="y"</formula>
    </cfRule>
  </conditionalFormatting>
  <pageMargins left="0.25" right="0.25" top="0.75" bottom="0.75" header="0.3" footer="0.3"/>
  <pageSetup scale="88" fitToHeight="0"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AE9FD-1B8D-468D-B634-0AC8B970C59B}">
  <sheetPr codeName="Sheet22">
    <outlinePr summaryBelow="0"/>
    <pageSetUpPr autoPageBreaks="0" fitToPage="1"/>
  </sheetPr>
  <dimension ref="A1:U33"/>
  <sheetViews>
    <sheetView showGridLines="0" zoomScale="90" zoomScaleNormal="90" workbookViewId="0">
      <selection activeCell="D11" sqref="D11"/>
    </sheetView>
  </sheetViews>
  <sheetFormatPr defaultRowHeight="15" outlineLevelCol="1" x14ac:dyDescent="0.25"/>
  <cols>
    <col min="1" max="1" width="2.7109375" customWidth="1"/>
    <col min="2" max="2" width="12" hidden="1" customWidth="1" outlineLevel="1"/>
    <col min="3" max="3" width="12.28515625" hidden="1" customWidth="1" outlineLevel="1"/>
    <col min="4" max="5" width="9.140625" hidden="1" customWidth="1" outlineLevel="1"/>
    <col min="6" max="6" width="10.5703125" hidden="1" customWidth="1" outlineLevel="1"/>
    <col min="7" max="10" width="9.140625" hidden="1" customWidth="1" outlineLevel="1"/>
    <col min="11" max="11" width="10.5703125" hidden="1" customWidth="1" outlineLevel="1"/>
    <col min="12" max="12" width="2.7109375" hidden="1" customWidth="1" outlineLevel="1"/>
    <col min="13" max="13" width="13.7109375" customWidth="1" collapsed="1"/>
    <col min="14" max="14" width="13.7109375" customWidth="1"/>
    <col min="15" max="16" width="16.140625" customWidth="1"/>
    <col min="17" max="17" width="16.140625" style="11" customWidth="1"/>
    <col min="18" max="21" width="16.140625" customWidth="1"/>
    <col min="22" max="22" width="9.140625" customWidth="1"/>
  </cols>
  <sheetData>
    <row r="1" spans="1:21" ht="9.9499999999999993" customHeight="1" x14ac:dyDescent="0.25"/>
    <row r="2" spans="1:21" ht="21" x14ac:dyDescent="0.35">
      <c r="M2" s="1" t="s">
        <v>218</v>
      </c>
      <c r="N2" s="1"/>
      <c r="P2" s="39"/>
    </row>
    <row r="3" spans="1:21" ht="15.75" x14ac:dyDescent="0.25">
      <c r="D3" s="89"/>
      <c r="E3" s="89"/>
      <c r="F3" s="89"/>
      <c r="K3" s="89"/>
      <c r="M3" s="444" t="s">
        <v>653</v>
      </c>
    </row>
    <row r="4" spans="1:21" x14ac:dyDescent="0.25">
      <c r="B4" s="31"/>
      <c r="D4" s="89"/>
      <c r="E4" s="89"/>
      <c r="F4" s="89"/>
      <c r="K4" s="89"/>
    </row>
    <row r="5" spans="1:21" x14ac:dyDescent="0.25">
      <c r="B5" s="574" t="s">
        <v>859</v>
      </c>
      <c r="C5" s="574" t="s">
        <v>860</v>
      </c>
      <c r="D5" s="401"/>
      <c r="E5" s="401"/>
      <c r="F5" s="401"/>
      <c r="G5" s="396" t="s">
        <v>635</v>
      </c>
      <c r="H5" s="400" t="s">
        <v>647</v>
      </c>
      <c r="K5" s="401"/>
      <c r="L5" s="403"/>
      <c r="M5" s="396" t="str">
        <f>_xlfn.CONCAT($G$5,"  ",H5)</f>
        <v>•  Class XX, X, or Y</v>
      </c>
    </row>
    <row r="6" spans="1:21" x14ac:dyDescent="0.25">
      <c r="B6" s="2">
        <v>360</v>
      </c>
      <c r="C6" s="2" t="s">
        <v>218</v>
      </c>
      <c r="D6" s="401"/>
      <c r="E6" s="401"/>
      <c r="F6" s="400"/>
      <c r="G6" s="401"/>
      <c r="H6" s="13" t="s">
        <v>489</v>
      </c>
      <c r="K6" s="400"/>
      <c r="L6" s="11"/>
      <c r="M6" s="396" t="str">
        <f>_xlfn.CONCAT($G$5,"  ",H6)</f>
        <v>•  Available in steel only</v>
      </c>
    </row>
    <row r="7" spans="1:21" x14ac:dyDescent="0.25">
      <c r="D7" s="401"/>
      <c r="E7" s="401"/>
      <c r="F7" s="401"/>
      <c r="G7" s="396"/>
      <c r="H7" s="400" t="s">
        <v>648</v>
      </c>
      <c r="K7" s="401"/>
      <c r="L7" s="403"/>
      <c r="M7" s="396" t="str">
        <f>_xlfn.CONCAT($G$5,"  ",H7)</f>
        <v>•  Sold with insulating grips</v>
      </c>
    </row>
    <row r="8" spans="1:21" ht="15.75" thickBot="1" x14ac:dyDescent="0.3">
      <c r="C8" s="400"/>
      <c r="D8" s="89"/>
      <c r="E8" s="89"/>
      <c r="F8" s="89"/>
      <c r="K8" s="89"/>
    </row>
    <row r="9" spans="1:21" ht="16.149999999999999" customHeight="1" x14ac:dyDescent="0.25">
      <c r="B9" s="31"/>
      <c r="M9" s="870" t="str">
        <f>$M$2</f>
        <v>Master Setting Discs</v>
      </c>
      <c r="N9" s="597"/>
      <c r="O9" s="597"/>
      <c r="P9" s="602"/>
      <c r="Q9" s="602"/>
      <c r="R9" s="602"/>
      <c r="S9" s="602"/>
      <c r="T9" s="602"/>
      <c r="U9" s="603"/>
    </row>
    <row r="10" spans="1:21" s="11" customFormat="1" ht="20.25" customHeight="1" x14ac:dyDescent="0.4">
      <c r="A10"/>
      <c r="F10" s="11" t="s">
        <v>610</v>
      </c>
      <c r="H10" s="437">
        <v>0.35</v>
      </c>
      <c r="M10" s="102"/>
      <c r="P10" s="303" t="s">
        <v>220</v>
      </c>
      <c r="Q10" s="304"/>
      <c r="R10" s="303" t="s">
        <v>221</v>
      </c>
      <c r="S10" s="304"/>
      <c r="T10" s="303" t="s">
        <v>220</v>
      </c>
      <c r="U10" s="589"/>
    </row>
    <row r="11" spans="1:21" ht="17.25" x14ac:dyDescent="0.4">
      <c r="M11" s="1322" t="s">
        <v>3</v>
      </c>
      <c r="N11" s="1323"/>
      <c r="O11" s="1324" t="s">
        <v>573</v>
      </c>
      <c r="P11" s="305" t="s">
        <v>612</v>
      </c>
      <c r="Q11" s="306"/>
      <c r="R11" s="307" t="s">
        <v>613</v>
      </c>
      <c r="S11" s="307"/>
      <c r="T11" s="308" t="s">
        <v>614</v>
      </c>
      <c r="U11" s="309"/>
    </row>
    <row r="12" spans="1:21" s="72" customFormat="1" ht="18.75" customHeight="1" x14ac:dyDescent="0.25">
      <c r="A12"/>
      <c r="F12" s="280"/>
      <c r="H12" s="441">
        <v>1</v>
      </c>
      <c r="I12" s="441">
        <v>2</v>
      </c>
      <c r="J12" s="441">
        <v>3</v>
      </c>
      <c r="K12" s="280"/>
      <c r="M12" s="1302"/>
      <c r="N12" s="1303"/>
      <c r="O12" s="1325"/>
      <c r="P12" s="310" t="s">
        <v>219</v>
      </c>
      <c r="Q12" s="311" t="s">
        <v>568</v>
      </c>
      <c r="R12" s="312" t="s">
        <v>219</v>
      </c>
      <c r="S12" s="310" t="s">
        <v>568</v>
      </c>
      <c r="T12" s="311" t="s">
        <v>219</v>
      </c>
      <c r="U12" s="313" t="s">
        <v>568</v>
      </c>
    </row>
    <row r="13" spans="1:21" x14ac:dyDescent="0.25">
      <c r="B13" s="72" t="s">
        <v>6</v>
      </c>
      <c r="C13" s="93">
        <v>0.2301</v>
      </c>
      <c r="D13" s="93">
        <v>0.36499999999999999</v>
      </c>
      <c r="E13" s="272"/>
      <c r="F13" s="281">
        <v>1</v>
      </c>
      <c r="H13" s="437">
        <v>122</v>
      </c>
      <c r="I13" s="437">
        <v>222</v>
      </c>
      <c r="J13" s="437">
        <v>112</v>
      </c>
      <c r="K13" s="281"/>
      <c r="L13" s="72"/>
      <c r="M13" s="975" t="str">
        <f>_xlfn.CONCAT(TEXT($C13,"#.000#"),""""," to ",TEXT($D13,"#.000#"),"""")</f>
        <v>.2301" to .365"</v>
      </c>
      <c r="N13" s="19"/>
      <c r="O13" s="104" t="s">
        <v>198</v>
      </c>
      <c r="P13" s="257">
        <v>1</v>
      </c>
      <c r="Q13" s="315">
        <f t="shared" ref="Q13:Q27" si="0">CEILING(PRODUCT(1+$H$10,H13),1)</f>
        <v>165</v>
      </c>
      <c r="R13" s="590">
        <v>1</v>
      </c>
      <c r="S13" s="105">
        <f t="shared" ref="S13:S27" si="1">CEILING(PRODUCT(1+$H$10,I13),1)</f>
        <v>300</v>
      </c>
      <c r="T13" s="316">
        <v>0.5</v>
      </c>
      <c r="U13" s="291">
        <f t="shared" ref="U13:U27" si="2">CEILING(PRODUCT(1+$H$10,J13),1)</f>
        <v>152</v>
      </c>
    </row>
    <row r="14" spans="1:21" s="72" customFormat="1" x14ac:dyDescent="0.25">
      <c r="A14"/>
      <c r="B14" s="40" t="s">
        <v>576</v>
      </c>
      <c r="C14" s="94">
        <v>5.8410000000000002</v>
      </c>
      <c r="D14" s="94">
        <v>9.27</v>
      </c>
      <c r="E14" s="274"/>
      <c r="F14" s="282"/>
      <c r="H14" s="441">
        <v>105</v>
      </c>
      <c r="I14" s="441">
        <v>177</v>
      </c>
      <c r="J14" s="441">
        <v>88</v>
      </c>
      <c r="K14" s="282"/>
      <c r="L14" s="40"/>
      <c r="M14" s="314" t="str">
        <f>_xlfn.CONCAT(TEXT($C14,"0.00#"),"mm"," to ",TEXT($D14,"0.00#"),"mm")</f>
        <v>5.841mm to 9.27mm</v>
      </c>
      <c r="N14" s="317"/>
      <c r="O14" s="229" t="s">
        <v>197</v>
      </c>
      <c r="P14" s="318">
        <v>25.4</v>
      </c>
      <c r="Q14" s="315">
        <f t="shared" si="0"/>
        <v>142</v>
      </c>
      <c r="R14" s="591">
        <v>25.4</v>
      </c>
      <c r="S14" s="105">
        <f t="shared" si="1"/>
        <v>239</v>
      </c>
      <c r="T14" s="319">
        <v>12.7</v>
      </c>
      <c r="U14" s="291">
        <f t="shared" si="2"/>
        <v>119</v>
      </c>
    </row>
    <row r="15" spans="1:21" s="40" customFormat="1" x14ac:dyDescent="0.25">
      <c r="A15"/>
      <c r="F15" s="283"/>
      <c r="H15" s="442">
        <v>97</v>
      </c>
      <c r="I15" s="442">
        <v>170</v>
      </c>
      <c r="J15" s="442">
        <v>77</v>
      </c>
      <c r="K15" s="283"/>
      <c r="M15" s="320"/>
      <c r="O15" s="321" t="s">
        <v>209</v>
      </c>
      <c r="P15" s="322"/>
      <c r="Q15" s="315">
        <f t="shared" si="0"/>
        <v>131</v>
      </c>
      <c r="S15" s="105">
        <f t="shared" si="1"/>
        <v>230</v>
      </c>
      <c r="T15" s="323"/>
      <c r="U15" s="291">
        <f t="shared" si="2"/>
        <v>104</v>
      </c>
    </row>
    <row r="16" spans="1:21" s="72" customFormat="1" x14ac:dyDescent="0.25">
      <c r="A16"/>
      <c r="B16" s="72" t="s">
        <v>6</v>
      </c>
      <c r="C16" s="93">
        <v>0.36509999999999998</v>
      </c>
      <c r="D16" s="93">
        <v>0.51</v>
      </c>
      <c r="E16" s="272"/>
      <c r="F16" s="281">
        <v>2</v>
      </c>
      <c r="H16" s="441">
        <v>128</v>
      </c>
      <c r="I16" s="441">
        <v>226</v>
      </c>
      <c r="J16" s="441">
        <v>110</v>
      </c>
      <c r="K16" s="281"/>
      <c r="M16" s="966" t="str">
        <f>_xlfn.CONCAT(TEXT($C16,"#.000#"),""""," to ",TEXT($D16,"#.000#"),"""")</f>
        <v>.3651" to .510"</v>
      </c>
      <c r="N16" s="967"/>
      <c r="O16" s="948" t="s">
        <v>198</v>
      </c>
      <c r="P16" s="968">
        <v>1.125</v>
      </c>
      <c r="Q16" s="533">
        <f t="shared" si="0"/>
        <v>173</v>
      </c>
      <c r="R16" s="969">
        <v>1.125</v>
      </c>
      <c r="S16" s="949">
        <f t="shared" si="1"/>
        <v>306</v>
      </c>
      <c r="T16" s="970">
        <v>0.5625</v>
      </c>
      <c r="U16" s="950">
        <f t="shared" si="2"/>
        <v>149</v>
      </c>
    </row>
    <row r="17" spans="1:21" s="40" customFormat="1" x14ac:dyDescent="0.25">
      <c r="A17"/>
      <c r="B17" s="40" t="s">
        <v>576</v>
      </c>
      <c r="C17" s="94">
        <v>9.2710000000000008</v>
      </c>
      <c r="D17" s="94">
        <v>12.95</v>
      </c>
      <c r="E17" s="274"/>
      <c r="F17" s="282"/>
      <c r="H17" s="442">
        <v>105</v>
      </c>
      <c r="I17" s="442">
        <v>185</v>
      </c>
      <c r="J17" s="442">
        <v>93</v>
      </c>
      <c r="K17" s="282"/>
      <c r="M17" s="325" t="str">
        <f>_xlfn.CONCAT(TEXT($C17,"0.00#"),"mm"," to ",TEXT($D17,"0.00#"),"mm")</f>
        <v>9.271mm to 12.95mm</v>
      </c>
      <c r="N17" s="960"/>
      <c r="O17" s="326" t="s">
        <v>197</v>
      </c>
      <c r="P17" s="327">
        <v>28.6</v>
      </c>
      <c r="Q17" s="328">
        <f t="shared" si="0"/>
        <v>142</v>
      </c>
      <c r="R17" s="329">
        <v>28.6</v>
      </c>
      <c r="S17" s="115">
        <f t="shared" si="1"/>
        <v>250</v>
      </c>
      <c r="T17" s="327">
        <v>14.3</v>
      </c>
      <c r="U17" s="292">
        <f t="shared" si="2"/>
        <v>126</v>
      </c>
    </row>
    <row r="18" spans="1:21" s="40" customFormat="1" x14ac:dyDescent="0.25">
      <c r="A18"/>
      <c r="C18" s="274"/>
      <c r="D18" s="274"/>
      <c r="E18" s="274"/>
      <c r="F18" s="282"/>
      <c r="H18" s="442">
        <v>97</v>
      </c>
      <c r="I18" s="442">
        <v>176</v>
      </c>
      <c r="J18" s="442">
        <v>86</v>
      </c>
      <c r="K18" s="282"/>
      <c r="M18" s="961"/>
      <c r="N18" s="962"/>
      <c r="O18" s="963" t="s">
        <v>209</v>
      </c>
      <c r="P18" s="964"/>
      <c r="Q18" s="951">
        <f t="shared" si="0"/>
        <v>131</v>
      </c>
      <c r="R18" s="965"/>
      <c r="S18" s="943">
        <f t="shared" si="1"/>
        <v>238</v>
      </c>
      <c r="T18" s="964"/>
      <c r="U18" s="952">
        <f t="shared" si="2"/>
        <v>117</v>
      </c>
    </row>
    <row r="19" spans="1:21" s="72" customFormat="1" x14ac:dyDescent="0.25">
      <c r="A19"/>
      <c r="B19" s="72" t="s">
        <v>6</v>
      </c>
      <c r="C19" s="93">
        <v>0.5101</v>
      </c>
      <c r="D19" s="93">
        <v>0.82499999999999996</v>
      </c>
      <c r="E19" s="272"/>
      <c r="F19" s="281">
        <v>3</v>
      </c>
      <c r="H19" s="441">
        <v>128</v>
      </c>
      <c r="I19" s="441">
        <v>238</v>
      </c>
      <c r="J19" s="441">
        <v>117</v>
      </c>
      <c r="K19" s="281"/>
      <c r="M19" s="317" t="str">
        <f>_xlfn.CONCAT(TEXT($C19,"#.000#"),""""," to ",TEXT($D19,"#.000#"),"""")</f>
        <v>.5101" to .825"</v>
      </c>
      <c r="N19" s="19"/>
      <c r="O19" s="330" t="s">
        <v>198</v>
      </c>
      <c r="P19" s="257">
        <v>1.25</v>
      </c>
      <c r="Q19" s="315">
        <f t="shared" si="0"/>
        <v>173</v>
      </c>
      <c r="R19" s="590">
        <v>1.25</v>
      </c>
      <c r="S19" s="105">
        <f t="shared" si="1"/>
        <v>322</v>
      </c>
      <c r="T19" s="959">
        <v>0.625</v>
      </c>
      <c r="U19" s="291">
        <f t="shared" si="2"/>
        <v>158</v>
      </c>
    </row>
    <row r="20" spans="1:21" s="40" customFormat="1" x14ac:dyDescent="0.25">
      <c r="A20"/>
      <c r="B20" s="40" t="s">
        <v>576</v>
      </c>
      <c r="C20" s="94">
        <v>12.951000000000001</v>
      </c>
      <c r="D20" s="94">
        <v>20.96</v>
      </c>
      <c r="E20" s="274"/>
      <c r="F20" s="282"/>
      <c r="H20" s="442">
        <v>111</v>
      </c>
      <c r="I20" s="442">
        <v>198</v>
      </c>
      <c r="J20" s="442">
        <v>100</v>
      </c>
      <c r="K20" s="282"/>
      <c r="M20" s="317" t="str">
        <f>_xlfn.CONCAT(TEXT($C20,"0.00#"),"mm"," to ",TEXT($D20,"0.00#"),"mm")</f>
        <v>12.951mm to 20.96mm</v>
      </c>
      <c r="N20" s="332"/>
      <c r="O20" s="333" t="s">
        <v>197</v>
      </c>
      <c r="P20" s="318">
        <v>31.8</v>
      </c>
      <c r="Q20" s="315">
        <f t="shared" si="0"/>
        <v>150</v>
      </c>
      <c r="R20" s="591">
        <v>31.8</v>
      </c>
      <c r="S20" s="105">
        <f t="shared" si="1"/>
        <v>268</v>
      </c>
      <c r="T20" s="319">
        <v>15.9</v>
      </c>
      <c r="U20" s="291">
        <f t="shared" si="2"/>
        <v>135</v>
      </c>
    </row>
    <row r="21" spans="1:21" s="40" customFormat="1" x14ac:dyDescent="0.25">
      <c r="A21"/>
      <c r="C21" s="274"/>
      <c r="D21" s="274"/>
      <c r="E21" s="274"/>
      <c r="F21" s="282"/>
      <c r="H21" s="442">
        <v>105</v>
      </c>
      <c r="I21" s="442">
        <v>181</v>
      </c>
      <c r="J21" s="442">
        <v>86</v>
      </c>
      <c r="K21" s="282"/>
      <c r="M21" s="334"/>
      <c r="N21" s="335"/>
      <c r="O21" s="336" t="s">
        <v>209</v>
      </c>
      <c r="P21" s="322"/>
      <c r="Q21" s="315">
        <f t="shared" si="0"/>
        <v>142</v>
      </c>
      <c r="S21" s="105">
        <f t="shared" si="1"/>
        <v>245</v>
      </c>
      <c r="T21" s="337"/>
      <c r="U21" s="291">
        <f t="shared" si="2"/>
        <v>117</v>
      </c>
    </row>
    <row r="22" spans="1:21" x14ac:dyDescent="0.25">
      <c r="B22" t="s">
        <v>6</v>
      </c>
      <c r="C22" s="93">
        <v>0.82509999999999994</v>
      </c>
      <c r="D22" s="93">
        <v>1.135</v>
      </c>
      <c r="E22" s="90"/>
      <c r="F22" s="284">
        <v>4</v>
      </c>
      <c r="H22" s="437">
        <v>140</v>
      </c>
      <c r="I22" s="437">
        <v>245</v>
      </c>
      <c r="J22" s="437">
        <v>122</v>
      </c>
      <c r="K22" s="284"/>
      <c r="M22" s="966" t="str">
        <f>_xlfn.CONCAT(TEXT($C22,"#.000#"),""""," to ",TEXT($D22,"#.000#"),"""")</f>
        <v>.8251" to 1.135"</v>
      </c>
      <c r="N22" s="967"/>
      <c r="O22" s="948" t="s">
        <v>198</v>
      </c>
      <c r="P22" s="968">
        <v>1.375</v>
      </c>
      <c r="Q22" s="533">
        <f t="shared" si="0"/>
        <v>189</v>
      </c>
      <c r="R22" s="969">
        <v>1.375</v>
      </c>
      <c r="S22" s="949">
        <f t="shared" si="1"/>
        <v>331</v>
      </c>
      <c r="T22" s="970">
        <v>0.6875</v>
      </c>
      <c r="U22" s="950">
        <f t="shared" si="2"/>
        <v>165</v>
      </c>
    </row>
    <row r="23" spans="1:21" s="40" customFormat="1" x14ac:dyDescent="0.25">
      <c r="A23"/>
      <c r="B23" s="40" t="s">
        <v>576</v>
      </c>
      <c r="C23" s="94">
        <v>20.960999999999999</v>
      </c>
      <c r="D23" s="94">
        <v>28.83</v>
      </c>
      <c r="E23" s="274"/>
      <c r="F23" s="282"/>
      <c r="H23" s="442">
        <v>118</v>
      </c>
      <c r="I23" s="442">
        <v>210</v>
      </c>
      <c r="J23" s="442">
        <v>108</v>
      </c>
      <c r="K23" s="282"/>
      <c r="M23" s="325" t="str">
        <f>_xlfn.CONCAT(TEXT($C23,"0.00#"),"mm"," to ",TEXT($D23,"0.00#"),"mm")</f>
        <v>20.961mm to 28.83mm</v>
      </c>
      <c r="N23" s="960"/>
      <c r="O23" s="326" t="s">
        <v>197</v>
      </c>
      <c r="P23" s="327">
        <v>34.9</v>
      </c>
      <c r="Q23" s="328">
        <f t="shared" si="0"/>
        <v>160</v>
      </c>
      <c r="R23" s="329">
        <v>34.9</v>
      </c>
      <c r="S23" s="115">
        <f t="shared" si="1"/>
        <v>284</v>
      </c>
      <c r="T23" s="327">
        <v>17.5</v>
      </c>
      <c r="U23" s="292">
        <f t="shared" si="2"/>
        <v>146</v>
      </c>
    </row>
    <row r="24" spans="1:21" s="40" customFormat="1" x14ac:dyDescent="0.25">
      <c r="A24"/>
      <c r="C24" s="274"/>
      <c r="D24" s="274"/>
      <c r="E24" s="274"/>
      <c r="F24" s="282"/>
      <c r="H24" s="442">
        <v>110</v>
      </c>
      <c r="I24" s="442">
        <v>187</v>
      </c>
      <c r="J24" s="442">
        <v>97</v>
      </c>
      <c r="K24" s="282"/>
      <c r="M24" s="961"/>
      <c r="N24" s="962"/>
      <c r="O24" s="963" t="s">
        <v>209</v>
      </c>
      <c r="P24" s="964"/>
      <c r="Q24" s="951">
        <f t="shared" si="0"/>
        <v>149</v>
      </c>
      <c r="R24" s="965"/>
      <c r="S24" s="943">
        <f t="shared" si="1"/>
        <v>253</v>
      </c>
      <c r="T24" s="964"/>
      <c r="U24" s="952">
        <f t="shared" si="2"/>
        <v>131</v>
      </c>
    </row>
    <row r="25" spans="1:21" s="72" customFormat="1" x14ac:dyDescent="0.25">
      <c r="A25"/>
      <c r="B25" s="72" t="s">
        <v>6</v>
      </c>
      <c r="C25" s="93">
        <v>1.1351</v>
      </c>
      <c r="D25" s="93">
        <v>1.51</v>
      </c>
      <c r="E25" s="272"/>
      <c r="F25" s="281">
        <v>5</v>
      </c>
      <c r="H25" s="441">
        <v>150</v>
      </c>
      <c r="I25" s="441">
        <v>260</v>
      </c>
      <c r="J25" s="441">
        <v>128</v>
      </c>
      <c r="K25" s="281"/>
      <c r="M25" s="317" t="str">
        <f>_xlfn.CONCAT(TEXT($C25,"#.000#"),""""," to ",TEXT($D25,"#.000#"),"""")</f>
        <v>1.1351" to 1.510"</v>
      </c>
      <c r="N25" s="19"/>
      <c r="O25" s="104" t="s">
        <v>198</v>
      </c>
      <c r="P25" s="590">
        <v>1.625</v>
      </c>
      <c r="Q25" s="315">
        <f t="shared" si="0"/>
        <v>203</v>
      </c>
      <c r="R25" s="590">
        <v>1.625</v>
      </c>
      <c r="S25" s="315">
        <f t="shared" si="1"/>
        <v>351</v>
      </c>
      <c r="T25" s="331">
        <v>0.8125</v>
      </c>
      <c r="U25" s="106">
        <f t="shared" si="2"/>
        <v>173</v>
      </c>
    </row>
    <row r="26" spans="1:21" s="40" customFormat="1" x14ac:dyDescent="0.25">
      <c r="A26"/>
      <c r="B26" s="40" t="s">
        <v>576</v>
      </c>
      <c r="C26" s="94">
        <v>29.831</v>
      </c>
      <c r="D26" s="94">
        <v>38.35</v>
      </c>
      <c r="E26" s="274"/>
      <c r="F26" s="282"/>
      <c r="H26" s="442">
        <v>124</v>
      </c>
      <c r="I26" s="442">
        <v>220</v>
      </c>
      <c r="J26" s="442">
        <v>110</v>
      </c>
      <c r="K26" s="282"/>
      <c r="M26" s="317" t="str">
        <f>_xlfn.CONCAT(TEXT($C26,"0.00#"),"mm"," to ",TEXT($D26,"0.00#"),"mm")</f>
        <v>29.831mm to 38.35mm</v>
      </c>
      <c r="N26" s="332"/>
      <c r="O26" s="229" t="s">
        <v>197</v>
      </c>
      <c r="P26" s="591">
        <v>41.3</v>
      </c>
      <c r="Q26" s="315">
        <f t="shared" si="0"/>
        <v>168</v>
      </c>
      <c r="R26" s="591">
        <v>41.3</v>
      </c>
      <c r="S26" s="315">
        <f t="shared" si="1"/>
        <v>297</v>
      </c>
      <c r="T26" s="591">
        <v>20.6</v>
      </c>
      <c r="U26" s="106">
        <f t="shared" si="2"/>
        <v>149</v>
      </c>
    </row>
    <row r="27" spans="1:21" ht="15.75" thickBot="1" x14ac:dyDescent="0.3">
      <c r="F27" s="285"/>
      <c r="H27" s="442">
        <v>116</v>
      </c>
      <c r="I27" s="442">
        <v>209</v>
      </c>
      <c r="J27" s="442">
        <v>105</v>
      </c>
      <c r="K27" s="285"/>
      <c r="M27" s="135"/>
      <c r="N27" s="338"/>
      <c r="O27" s="339" t="s">
        <v>209</v>
      </c>
      <c r="P27" s="121"/>
      <c r="Q27" s="340">
        <f t="shared" si="0"/>
        <v>157</v>
      </c>
      <c r="R27" s="121"/>
      <c r="S27" s="340">
        <f t="shared" si="1"/>
        <v>283</v>
      </c>
      <c r="T27" s="121"/>
      <c r="U27" s="125">
        <f t="shared" si="2"/>
        <v>142</v>
      </c>
    </row>
    <row r="28" spans="1:21" ht="6" customHeight="1" x14ac:dyDescent="0.25">
      <c r="F28" s="285"/>
      <c r="K28" s="285"/>
    </row>
    <row r="29" spans="1:21" x14ac:dyDescent="0.25">
      <c r="F29" s="285"/>
      <c r="K29" s="285"/>
      <c r="M29" t="s">
        <v>634</v>
      </c>
      <c r="N29" s="11"/>
      <c r="O29" s="11"/>
    </row>
    <row r="30" spans="1:21" ht="8.1" customHeight="1" x14ac:dyDescent="0.25">
      <c r="F30" s="285"/>
      <c r="K30" s="285"/>
      <c r="M30" s="11"/>
      <c r="N30" s="11"/>
    </row>
    <row r="31" spans="1:21" x14ac:dyDescent="0.25">
      <c r="M31" s="17" t="s">
        <v>931</v>
      </c>
      <c r="N31" s="11"/>
    </row>
    <row r="32" spans="1:21" ht="8.1" customHeight="1" x14ac:dyDescent="0.25">
      <c r="M32" s="11"/>
      <c r="N32" s="11"/>
    </row>
    <row r="33" spans="13:13" x14ac:dyDescent="0.25">
      <c r="M33" s="17" t="s">
        <v>957</v>
      </c>
    </row>
  </sheetData>
  <sheetProtection algorithmName="SHA-512" hashValue="Lme+6t/6piaOosBOkqbiB1gd++UW/QpGWI5Jb+tIBm45sWdvY0+o37Gs2pXji01VcizaxCuNIJOS/b0k0uuDzw==" saltValue="SGCIymfgz5RKa/PcGwW6Cw==" spinCount="100000" sheet="1" objects="1" scenarios="1"/>
  <mergeCells count="2">
    <mergeCell ref="M11:N12"/>
    <mergeCell ref="O11:O12"/>
  </mergeCells>
  <conditionalFormatting sqref="M5:M7">
    <cfRule type="expression" dxfId="10" priority="1">
      <formula>#REF!="y"</formula>
    </cfRule>
  </conditionalFormatting>
  <pageMargins left="0.25" right="0.25" top="0.75" bottom="0.75" header="0.3" footer="0.3"/>
  <pageSetup scale="84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4A605-2D6C-4363-96A7-47B1E3383A81}">
  <sheetPr codeName="Sheet23">
    <outlinePr summaryBelow="0"/>
    <pageSetUpPr autoPageBreaks="0" fitToPage="1"/>
  </sheetPr>
  <dimension ref="A1:AC58"/>
  <sheetViews>
    <sheetView showGridLines="0" zoomScale="90" zoomScaleNormal="90" workbookViewId="0">
      <selection activeCell="Y63" sqref="Y62:Y63"/>
    </sheetView>
  </sheetViews>
  <sheetFormatPr defaultRowHeight="15" outlineLevelRow="1" outlineLevelCol="1" x14ac:dyDescent="0.25"/>
  <cols>
    <col min="1" max="1" width="2.7109375" customWidth="1"/>
    <col min="2" max="2" width="9.140625" hidden="1" customWidth="1" outlineLevel="1"/>
    <col min="3" max="3" width="1.7109375" hidden="1" customWidth="1" outlineLevel="1"/>
    <col min="4" max="5" width="9.140625" hidden="1" customWidth="1" outlineLevel="1"/>
    <col min="6" max="6" width="1.7109375" hidden="1" customWidth="1" outlineLevel="1"/>
    <col min="7" max="8" width="9.140625" hidden="1" customWidth="1" outlineLevel="1"/>
    <col min="9" max="9" width="1.7109375" hidden="1" customWidth="1" outlineLevel="1"/>
    <col min="10" max="12" width="9.140625" hidden="1" customWidth="1" outlineLevel="1"/>
    <col min="13" max="13" width="1.7109375" hidden="1" customWidth="1" outlineLevel="1"/>
    <col min="14" max="18" width="9.140625" hidden="1" customWidth="1" outlineLevel="1"/>
    <col min="19" max="19" width="1.7109375" hidden="1" customWidth="1" outlineLevel="1"/>
    <col min="20" max="22" width="9.140625" hidden="1" customWidth="1" outlineLevel="1"/>
    <col min="23" max="24" width="1.7109375" hidden="1" customWidth="1" outlineLevel="1"/>
    <col min="25" max="25" width="23.85546875" customWidth="1" collapsed="1"/>
    <col min="26" max="29" width="16.28515625" customWidth="1"/>
    <col min="30" max="30" width="15.140625" customWidth="1"/>
    <col min="31" max="32" width="12.140625" customWidth="1"/>
  </cols>
  <sheetData>
    <row r="1" spans="2:29" ht="9.9499999999999993" customHeight="1" x14ac:dyDescent="0.25"/>
    <row r="2" spans="2:29" ht="21" x14ac:dyDescent="0.35">
      <c r="Y2" s="1" t="s">
        <v>1295</v>
      </c>
      <c r="AA2" s="39"/>
    </row>
    <row r="3" spans="2:29" collapsed="1" x14ac:dyDescent="0.25">
      <c r="Y3" s="17"/>
      <c r="AA3" s="49"/>
    </row>
    <row r="4" spans="2:29" hidden="1" outlineLevel="1" x14ac:dyDescent="0.25">
      <c r="B4" s="574" t="s">
        <v>859</v>
      </c>
      <c r="D4" s="574" t="s">
        <v>860</v>
      </c>
      <c r="Y4" s="17"/>
      <c r="AA4" s="49"/>
    </row>
    <row r="5" spans="2:29" hidden="1" outlineLevel="1" x14ac:dyDescent="0.25">
      <c r="B5" s="2">
        <v>260</v>
      </c>
      <c r="D5" s="2" t="s">
        <v>822</v>
      </c>
      <c r="Y5" s="17"/>
      <c r="AA5" s="49"/>
    </row>
    <row r="6" spans="2:29" hidden="1" outlineLevel="1" x14ac:dyDescent="0.25">
      <c r="H6" s="50"/>
      <c r="Y6" s="17"/>
      <c r="AA6" s="49"/>
    </row>
    <row r="7" spans="2:29" ht="15.75" thickBot="1" x14ac:dyDescent="0.3">
      <c r="B7" s="50" t="s">
        <v>926</v>
      </c>
    </row>
    <row r="8" spans="2:29" ht="16.899999999999999" customHeight="1" x14ac:dyDescent="0.25">
      <c r="J8" s="488" t="s">
        <v>605</v>
      </c>
      <c r="K8" s="556"/>
      <c r="L8" s="556"/>
      <c r="N8" s="488" t="s">
        <v>606</v>
      </c>
      <c r="O8" s="556"/>
      <c r="P8" s="566"/>
      <c r="Q8" s="566"/>
      <c r="R8" s="566"/>
      <c r="Y8" s="592" t="s">
        <v>1295</v>
      </c>
      <c r="Z8" s="592"/>
      <c r="AA8" s="592"/>
      <c r="AB8" s="592"/>
      <c r="AC8" s="593"/>
    </row>
    <row r="9" spans="2:29" x14ac:dyDescent="0.25">
      <c r="D9" s="21" t="s">
        <v>624</v>
      </c>
      <c r="E9" s="3"/>
      <c r="G9" s="21" t="s">
        <v>625</v>
      </c>
      <c r="H9" s="5"/>
      <c r="I9" s="5"/>
      <c r="J9" s="746" t="s">
        <v>693</v>
      </c>
      <c r="K9" s="249" t="s">
        <v>622</v>
      </c>
      <c r="L9" s="249" t="s">
        <v>623</v>
      </c>
      <c r="M9" s="746"/>
      <c r="N9" s="249" t="s">
        <v>622</v>
      </c>
      <c r="O9" s="249" t="s">
        <v>623</v>
      </c>
      <c r="P9" s="375" t="s">
        <v>626</v>
      </c>
      <c r="Q9" s="19"/>
      <c r="R9" s="1057">
        <v>0.3</v>
      </c>
      <c r="T9" s="374">
        <v>0.4</v>
      </c>
      <c r="U9" s="375" t="s">
        <v>626</v>
      </c>
      <c r="V9" s="19"/>
      <c r="Y9" s="1326" t="s">
        <v>3</v>
      </c>
      <c r="Z9" s="499" t="s">
        <v>185</v>
      </c>
      <c r="AA9" s="500"/>
      <c r="AB9" s="499" t="s">
        <v>199</v>
      </c>
      <c r="AC9" s="501"/>
    </row>
    <row r="10" spans="2:29" x14ac:dyDescent="0.25">
      <c r="D10" s="20" t="s">
        <v>6</v>
      </c>
      <c r="E10" s="19"/>
      <c r="G10" s="20" t="s">
        <v>7</v>
      </c>
      <c r="H10" s="19"/>
      <c r="I10" s="5"/>
      <c r="J10" s="746"/>
      <c r="K10" s="746"/>
      <c r="L10" s="746"/>
      <c r="M10" s="746"/>
      <c r="N10" s="11"/>
      <c r="O10" s="11"/>
      <c r="Y10" s="1327"/>
      <c r="Z10" s="502" t="s">
        <v>397</v>
      </c>
      <c r="AA10" s="311" t="s">
        <v>568</v>
      </c>
      <c r="AB10" s="502" t="s">
        <v>397</v>
      </c>
      <c r="AC10" s="503" t="s">
        <v>568</v>
      </c>
    </row>
    <row r="11" spans="2:29" x14ac:dyDescent="0.25">
      <c r="B11" s="18">
        <v>1</v>
      </c>
      <c r="C11" s="18"/>
      <c r="D11" s="494">
        <v>5.0000000000000001E-3</v>
      </c>
      <c r="E11" s="494">
        <v>7.4999999999999997E-2</v>
      </c>
      <c r="F11" s="495"/>
      <c r="G11" s="496">
        <v>0.13</v>
      </c>
      <c r="H11" s="496">
        <v>1.91</v>
      </c>
      <c r="I11" s="6"/>
      <c r="J11" s="528">
        <v>0.08</v>
      </c>
      <c r="K11" s="1044">
        <v>9</v>
      </c>
      <c r="L11" s="252">
        <f>MROUND((1-J11)*O11,1)</f>
        <v>10</v>
      </c>
      <c r="M11" s="1044"/>
      <c r="N11" s="838">
        <v>9.5</v>
      </c>
      <c r="O11" s="838">
        <v>11</v>
      </c>
      <c r="P11" s="1045">
        <f t="shared" ref="P11" si="0">IF(O11=0,0,O11-N11)</f>
        <v>1.5</v>
      </c>
      <c r="Q11" s="1046">
        <f>P11/N11</f>
        <v>0.15789473684210525</v>
      </c>
      <c r="R11" s="1047">
        <f>(1-$R$9)*O11</f>
        <v>7.6999999999999993</v>
      </c>
      <c r="S11" s="1048"/>
      <c r="T11" s="1047">
        <f>(1-$T$9)*$N11</f>
        <v>5.7</v>
      </c>
      <c r="U11" s="1045">
        <f>R11-T11</f>
        <v>1.9999999999999991</v>
      </c>
      <c r="V11" s="1046">
        <f>U11/T11</f>
        <v>0.35087719298245595</v>
      </c>
      <c r="Y11" s="102" t="str">
        <f>_xlfn.CONCAT(TEXT($D11,"#.000"),""""," - ",TEXT($E11,"#.000"),"""")</f>
        <v>.005" - .075"</v>
      </c>
      <c r="Z11" s="504" t="s">
        <v>187</v>
      </c>
      <c r="AA11" s="505">
        <f>L11</f>
        <v>10</v>
      </c>
      <c r="AB11" s="504" t="s">
        <v>200</v>
      </c>
      <c r="AC11" s="506">
        <f>O11</f>
        <v>11</v>
      </c>
    </row>
    <row r="12" spans="2:29" x14ac:dyDescent="0.25">
      <c r="B12" s="18"/>
      <c r="C12" s="18"/>
      <c r="D12" s="4"/>
      <c r="E12" s="5"/>
      <c r="G12" s="496"/>
      <c r="H12" s="496"/>
      <c r="I12" s="6"/>
      <c r="J12" s="1044"/>
      <c r="K12" s="1044"/>
      <c r="L12" s="252"/>
      <c r="M12" s="252"/>
      <c r="N12" s="838"/>
      <c r="O12" s="838" t="s">
        <v>733</v>
      </c>
      <c r="P12" s="1049"/>
      <c r="Q12" s="1050"/>
      <c r="R12" s="1051"/>
      <c r="S12" s="1048"/>
      <c r="T12" s="1051"/>
      <c r="U12" s="330"/>
      <c r="V12" s="1052"/>
      <c r="Y12" s="206" t="str">
        <f>_xlfn.CONCAT(TEXT($G11,"#.00"),"mm"," - ",TEXT($H11,"0.00"),"mm")</f>
        <v>.13mm - 1.91mm</v>
      </c>
      <c r="Z12" s="104"/>
      <c r="AA12" s="12"/>
      <c r="AB12" s="104"/>
      <c r="AC12" s="507"/>
    </row>
    <row r="13" spans="2:29" x14ac:dyDescent="0.25">
      <c r="B13" s="18">
        <v>2</v>
      </c>
      <c r="C13" s="18"/>
      <c r="D13" s="494">
        <v>7.5999999999999998E-2</v>
      </c>
      <c r="E13" s="494">
        <v>0.18</v>
      </c>
      <c r="G13" s="496">
        <v>1.92</v>
      </c>
      <c r="H13" s="496">
        <v>4.57</v>
      </c>
      <c r="I13" s="6"/>
      <c r="J13" s="528">
        <v>0.08</v>
      </c>
      <c r="K13" s="1044">
        <v>9.5</v>
      </c>
      <c r="L13" s="252">
        <f>MROUND((1-J13)*O13,1)</f>
        <v>11</v>
      </c>
      <c r="M13" s="252"/>
      <c r="N13" s="838">
        <v>10.75</v>
      </c>
      <c r="O13" s="838">
        <v>12</v>
      </c>
      <c r="P13" s="1045">
        <f t="shared" ref="P13" si="1">IF(O13=0,0,O13-N13)</f>
        <v>1.25</v>
      </c>
      <c r="Q13" s="1046">
        <f t="shared" ref="Q13" si="2">P13/N13</f>
        <v>0.11627906976744186</v>
      </c>
      <c r="R13" s="1047">
        <f>(1-$R$9)*O13</f>
        <v>8.3999999999999986</v>
      </c>
      <c r="S13" s="1048"/>
      <c r="T13" s="1047">
        <f>(1-$T$9)*$N13</f>
        <v>6.45</v>
      </c>
      <c r="U13" s="1045">
        <f>R13-T13</f>
        <v>1.9499999999999984</v>
      </c>
      <c r="V13" s="1046">
        <f>U13/T13</f>
        <v>0.3023255813953486</v>
      </c>
      <c r="Y13" s="111" t="str">
        <f>_xlfn.CONCAT(TEXT($D13,"#.000"),""""," - ",TEXT($E13,"#.000"),"""")</f>
        <v>.076" - .180"</v>
      </c>
      <c r="Z13" s="112" t="s">
        <v>189</v>
      </c>
      <c r="AA13" s="286">
        <f>L13</f>
        <v>11</v>
      </c>
      <c r="AB13" s="112" t="s">
        <v>201</v>
      </c>
      <c r="AC13" s="508">
        <f>O13</f>
        <v>12</v>
      </c>
    </row>
    <row r="14" spans="2:29" x14ac:dyDescent="0.25">
      <c r="B14" s="18"/>
      <c r="C14" s="18"/>
      <c r="D14" s="494"/>
      <c r="E14" s="494"/>
      <c r="G14" s="496"/>
      <c r="H14" s="496"/>
      <c r="I14" s="6"/>
      <c r="J14" s="528"/>
      <c r="K14" s="1044"/>
      <c r="L14" s="252"/>
      <c r="M14" s="252"/>
      <c r="N14" s="838"/>
      <c r="O14" s="838"/>
      <c r="P14" s="1049"/>
      <c r="Q14" s="1050"/>
      <c r="R14" s="1051"/>
      <c r="S14" s="1048"/>
      <c r="T14" s="1051"/>
      <c r="U14" s="330"/>
      <c r="V14" s="1052"/>
      <c r="Y14" s="211" t="str">
        <f>_xlfn.CONCAT(TEXT($G13,"#.00"),"mm"," - ",TEXT($H13,"0.00"),"mm")</f>
        <v>1.92mm - 4.57mm</v>
      </c>
      <c r="Z14" s="119"/>
      <c r="AA14" s="287"/>
      <c r="AB14" s="119"/>
      <c r="AC14" s="509"/>
    </row>
    <row r="15" spans="2:29" x14ac:dyDescent="0.25">
      <c r="B15" s="18">
        <v>3</v>
      </c>
      <c r="C15" s="18"/>
      <c r="D15" s="494">
        <v>0.18099999999999999</v>
      </c>
      <c r="E15" s="494">
        <v>0.28100000000000003</v>
      </c>
      <c r="G15" s="496">
        <v>4.58</v>
      </c>
      <c r="H15" s="496">
        <v>7.14</v>
      </c>
      <c r="I15" s="6"/>
      <c r="J15" s="528">
        <v>0.06</v>
      </c>
      <c r="K15" s="1044">
        <v>10.25</v>
      </c>
      <c r="L15" s="252">
        <f>MROUND((1-J15)*O15,1)</f>
        <v>12</v>
      </c>
      <c r="M15" s="252"/>
      <c r="N15" s="838">
        <v>11.5</v>
      </c>
      <c r="O15" s="838">
        <v>13</v>
      </c>
      <c r="P15" s="1045">
        <f t="shared" ref="P15" si="3">IF(O15=0,0,O15-N15)</f>
        <v>1.5</v>
      </c>
      <c r="Q15" s="1046">
        <f t="shared" ref="Q15" si="4">P15/N15</f>
        <v>0.13043478260869565</v>
      </c>
      <c r="R15" s="1047">
        <f>(1-$R$9)*O15</f>
        <v>9.1</v>
      </c>
      <c r="S15" s="1048"/>
      <c r="T15" s="1047">
        <f>(1-$T$9)*$N15</f>
        <v>6.8999999999999995</v>
      </c>
      <c r="U15" s="1045">
        <f>R15-T15</f>
        <v>2.2000000000000002</v>
      </c>
      <c r="V15" s="1046">
        <f>U15/T15</f>
        <v>0.31884057971014496</v>
      </c>
      <c r="Y15" s="102" t="str">
        <f>_xlfn.CONCAT(TEXT($D15,"#.000"),""""," - ",TEXT($E15,"#.000"),"""")</f>
        <v>.181" - .281"</v>
      </c>
      <c r="Z15" s="104" t="s">
        <v>190</v>
      </c>
      <c r="AA15" s="288">
        <f>L15</f>
        <v>12</v>
      </c>
      <c r="AB15" s="104" t="s">
        <v>202</v>
      </c>
      <c r="AC15" s="506">
        <f>O15</f>
        <v>13</v>
      </c>
    </row>
    <row r="16" spans="2:29" x14ac:dyDescent="0.25">
      <c r="B16" s="18"/>
      <c r="C16" s="18"/>
      <c r="D16" s="494"/>
      <c r="E16" s="494"/>
      <c r="G16" s="496"/>
      <c r="H16" s="496"/>
      <c r="I16" s="6"/>
      <c r="J16" s="528"/>
      <c r="K16" s="1044"/>
      <c r="L16" s="252"/>
      <c r="M16" s="252"/>
      <c r="N16" s="838"/>
      <c r="O16" s="838"/>
      <c r="P16" s="1049"/>
      <c r="Q16" s="1050"/>
      <c r="R16" s="1051"/>
      <c r="S16" s="1048"/>
      <c r="T16" s="1051"/>
      <c r="U16" s="330"/>
      <c r="V16" s="1052"/>
      <c r="Y16" s="206" t="str">
        <f>_xlfn.CONCAT(TEXT($G15,"#.00"),"mm"," - ",TEXT($H15,"0.00"),"mm")</f>
        <v>4.58mm - 7.14mm</v>
      </c>
      <c r="Z16" s="104"/>
      <c r="AA16" s="288"/>
      <c r="AB16" s="104"/>
      <c r="AC16" s="506"/>
    </row>
    <row r="17" spans="2:29" x14ac:dyDescent="0.25">
      <c r="B17" s="18">
        <v>4</v>
      </c>
      <c r="C17" s="18"/>
      <c r="D17" s="494">
        <v>0.28199999999999997</v>
      </c>
      <c r="E17" s="494">
        <v>0.40600000000000003</v>
      </c>
      <c r="G17" s="496">
        <v>7.15</v>
      </c>
      <c r="H17" s="496">
        <v>10.31</v>
      </c>
      <c r="I17" s="6"/>
      <c r="J17" s="528">
        <v>0.05</v>
      </c>
      <c r="K17" s="1044">
        <v>11.5</v>
      </c>
      <c r="L17" s="252">
        <f>MROUND((1-J17)*O17,1)</f>
        <v>14</v>
      </c>
      <c r="M17" s="252"/>
      <c r="N17" s="838">
        <v>13.25</v>
      </c>
      <c r="O17" s="838">
        <v>15</v>
      </c>
      <c r="P17" s="1045">
        <f t="shared" ref="P17" si="5">IF(O17=0,0,O17-N17)</f>
        <v>1.75</v>
      </c>
      <c r="Q17" s="1046">
        <f t="shared" ref="Q17" si="6">P17/N17</f>
        <v>0.13207547169811321</v>
      </c>
      <c r="R17" s="1047">
        <f>(1-$R$9)*O17</f>
        <v>10.5</v>
      </c>
      <c r="S17" s="1048"/>
      <c r="T17" s="1047">
        <f>(1-$T$9)*$N17</f>
        <v>7.9499999999999993</v>
      </c>
      <c r="U17" s="1045">
        <f>R17-T17</f>
        <v>2.5500000000000007</v>
      </c>
      <c r="V17" s="1046">
        <f>U17/T17</f>
        <v>0.32075471698113217</v>
      </c>
      <c r="Y17" s="111" t="str">
        <f>_xlfn.CONCAT(TEXT($D17,"#.000"),""""," - ",TEXT($E17,"#.000"),"""")</f>
        <v>.282" - .406"</v>
      </c>
      <c r="Z17" s="112" t="s">
        <v>191</v>
      </c>
      <c r="AA17" s="286">
        <f>L17</f>
        <v>14</v>
      </c>
      <c r="AB17" s="112" t="s">
        <v>203</v>
      </c>
      <c r="AC17" s="508">
        <f>O17</f>
        <v>15</v>
      </c>
    </row>
    <row r="18" spans="2:29" x14ac:dyDescent="0.25">
      <c r="B18" s="18"/>
      <c r="C18" s="18"/>
      <c r="D18" s="494"/>
      <c r="E18" s="494"/>
      <c r="G18" s="496"/>
      <c r="H18" s="496"/>
      <c r="I18" s="6"/>
      <c r="J18" s="528"/>
      <c r="K18" s="1044"/>
      <c r="L18" s="252"/>
      <c r="M18" s="252"/>
      <c r="N18" s="838"/>
      <c r="O18" s="838"/>
      <c r="P18" s="1049"/>
      <c r="Q18" s="1050"/>
      <c r="R18" s="1051"/>
      <c r="S18" s="1048"/>
      <c r="T18" s="1051"/>
      <c r="U18" s="330"/>
      <c r="V18" s="1052"/>
      <c r="Y18" s="211" t="str">
        <f>_xlfn.CONCAT(TEXT($G17,"#.00"),"mm"," - ",TEXT($H17,"0.00"),"mm")</f>
        <v>7.15mm - 10.31mm</v>
      </c>
      <c r="Z18" s="119"/>
      <c r="AA18" s="287"/>
      <c r="AB18" s="119"/>
      <c r="AC18" s="509"/>
    </row>
    <row r="19" spans="2:29" x14ac:dyDescent="0.25">
      <c r="B19" s="18">
        <v>5</v>
      </c>
      <c r="C19" s="18"/>
      <c r="D19" s="494">
        <v>0.40699999999999997</v>
      </c>
      <c r="E19" s="494">
        <v>0.51</v>
      </c>
      <c r="G19" s="496">
        <v>10.32</v>
      </c>
      <c r="H19" s="496">
        <v>12.95</v>
      </c>
      <c r="I19" s="6"/>
      <c r="J19" s="528">
        <v>0.05</v>
      </c>
      <c r="K19" s="1044">
        <v>14.5</v>
      </c>
      <c r="L19" s="252">
        <f>MROUND((1-J19)*O19,1)</f>
        <v>19</v>
      </c>
      <c r="M19" s="252"/>
      <c r="N19" s="838">
        <v>18.5</v>
      </c>
      <c r="O19" s="838">
        <v>20</v>
      </c>
      <c r="P19" s="1045">
        <f t="shared" ref="P19" si="7">IF(O19=0,0,O19-N19)</f>
        <v>1.5</v>
      </c>
      <c r="Q19" s="1046">
        <f t="shared" ref="Q19" si="8">P19/N19</f>
        <v>8.1081081081081086E-2</v>
      </c>
      <c r="R19" s="1047">
        <f>(1-$R$9)*O19</f>
        <v>14</v>
      </c>
      <c r="S19" s="1048"/>
      <c r="T19" s="1047">
        <f>(1-$T$9)*$N19</f>
        <v>11.1</v>
      </c>
      <c r="U19" s="1045">
        <f>R19-T19</f>
        <v>2.9000000000000004</v>
      </c>
      <c r="V19" s="1046">
        <f>U19/T19</f>
        <v>0.26126126126126131</v>
      </c>
      <c r="Y19" s="102" t="str">
        <f>_xlfn.CONCAT(TEXT($D19,"#.000"),""""," - ",TEXT($E19,"#.000"),"""")</f>
        <v>.407" - .510"</v>
      </c>
      <c r="Z19" s="104" t="s">
        <v>192</v>
      </c>
      <c r="AA19" s="288">
        <f>L19</f>
        <v>19</v>
      </c>
      <c r="AB19" s="104" t="s">
        <v>204</v>
      </c>
      <c r="AC19" s="506">
        <f>O19</f>
        <v>20</v>
      </c>
    </row>
    <row r="20" spans="2:29" x14ac:dyDescent="0.25">
      <c r="B20" s="18"/>
      <c r="C20" s="18"/>
      <c r="D20" s="494"/>
      <c r="E20" s="494"/>
      <c r="G20" s="496"/>
      <c r="H20" s="496"/>
      <c r="I20" s="6"/>
      <c r="J20" s="528"/>
      <c r="K20" s="1044"/>
      <c r="L20" s="252"/>
      <c r="M20" s="252"/>
      <c r="N20" s="838"/>
      <c r="O20" s="838"/>
      <c r="P20" s="1049"/>
      <c r="Q20" s="1050"/>
      <c r="R20" s="1051"/>
      <c r="S20" s="1048"/>
      <c r="T20" s="1051"/>
      <c r="U20" s="330"/>
      <c r="V20" s="1052"/>
      <c r="Y20" s="206" t="str">
        <f>_xlfn.CONCAT(TEXT($G19,"#.00"),"mm"," - ",TEXT($H19,"0.00"),"mm")</f>
        <v>10.32mm - 12.95mm</v>
      </c>
      <c r="Z20" s="104"/>
      <c r="AA20" s="288"/>
      <c r="AB20" s="104"/>
      <c r="AC20" s="506"/>
    </row>
    <row r="21" spans="2:29" x14ac:dyDescent="0.25">
      <c r="B21" s="18">
        <v>6</v>
      </c>
      <c r="C21" s="18"/>
      <c r="D21" s="494">
        <v>0.51100000000000001</v>
      </c>
      <c r="E21" s="494">
        <v>0.63500000000000001</v>
      </c>
      <c r="G21" s="496">
        <v>12.96</v>
      </c>
      <c r="H21" s="496">
        <v>16.13</v>
      </c>
      <c r="I21" s="6"/>
      <c r="J21" s="528">
        <v>0.04</v>
      </c>
      <c r="K21" s="1044">
        <v>20.25</v>
      </c>
      <c r="L21" s="252">
        <f>MROUND((1-J21)*O21,1)</f>
        <v>23</v>
      </c>
      <c r="M21" s="252"/>
      <c r="N21" s="838">
        <v>23.5</v>
      </c>
      <c r="O21" s="838">
        <v>24</v>
      </c>
      <c r="P21" s="1045">
        <f t="shared" ref="P21" si="9">IF(O21=0,0,O21-N21)</f>
        <v>0.5</v>
      </c>
      <c r="Q21" s="1046">
        <f t="shared" ref="Q21" si="10">P21/N21</f>
        <v>2.1276595744680851E-2</v>
      </c>
      <c r="R21" s="1047">
        <f>(1-$R$9)*O21</f>
        <v>16.799999999999997</v>
      </c>
      <c r="S21" s="1048"/>
      <c r="T21" s="1047">
        <f>(1-$T$9)*$N21</f>
        <v>14.1</v>
      </c>
      <c r="U21" s="1045">
        <f>R21-T21</f>
        <v>2.6999999999999975</v>
      </c>
      <c r="V21" s="1046">
        <f>U21/T21</f>
        <v>0.19148936170212749</v>
      </c>
      <c r="Y21" s="111" t="str">
        <f>_xlfn.CONCAT(TEXT($D21,"#.000"),""""," - ",TEXT($E21,"#.000"),"""")</f>
        <v>.511" - .635"</v>
      </c>
      <c r="Z21" s="112" t="s">
        <v>193</v>
      </c>
      <c r="AA21" s="286">
        <f>L21</f>
        <v>23</v>
      </c>
      <c r="AB21" s="510" t="s">
        <v>205</v>
      </c>
      <c r="AC21" s="508">
        <f>O21</f>
        <v>24</v>
      </c>
    </row>
    <row r="22" spans="2:29" x14ac:dyDescent="0.25">
      <c r="B22" s="18"/>
      <c r="C22" s="18"/>
      <c r="D22" s="494"/>
      <c r="E22" s="494"/>
      <c r="G22" s="496"/>
      <c r="H22" s="496"/>
      <c r="I22" s="6"/>
      <c r="J22" s="528"/>
      <c r="K22" s="1044"/>
      <c r="L22" s="252"/>
      <c r="M22" s="252"/>
      <c r="N22" s="838"/>
      <c r="O22" s="838"/>
      <c r="P22" s="1049"/>
      <c r="Q22" s="1050"/>
      <c r="R22" s="1051"/>
      <c r="S22" s="1048"/>
      <c r="T22" s="1051"/>
      <c r="U22" s="330"/>
      <c r="V22" s="1052"/>
      <c r="Y22" s="211" t="str">
        <f>_xlfn.CONCAT(TEXT($G21,"#.00"),"mm"," - ",TEXT($H21,"0.00"),"mm")</f>
        <v>12.96mm - 16.13mm</v>
      </c>
      <c r="Z22" s="119"/>
      <c r="AA22" s="287"/>
      <c r="AB22" s="511"/>
      <c r="AC22" s="509"/>
    </row>
    <row r="23" spans="2:29" x14ac:dyDescent="0.25">
      <c r="B23" s="18">
        <v>7</v>
      </c>
      <c r="C23" s="18"/>
      <c r="D23" s="494">
        <v>0.63600000000000001</v>
      </c>
      <c r="E23" s="494">
        <v>0.76</v>
      </c>
      <c r="G23" s="496">
        <v>16.14</v>
      </c>
      <c r="H23" s="496">
        <v>19.3</v>
      </c>
      <c r="I23" s="6"/>
      <c r="J23" s="528">
        <v>0.04</v>
      </c>
      <c r="K23" s="1044">
        <v>22.75</v>
      </c>
      <c r="L23" s="252">
        <f>MROUND((1-J23)*O23,1)</f>
        <v>27</v>
      </c>
      <c r="M23" s="252"/>
      <c r="N23" s="838">
        <v>26.5</v>
      </c>
      <c r="O23" s="838">
        <v>28</v>
      </c>
      <c r="P23" s="1045">
        <f t="shared" ref="P23" si="11">IF(O23=0,0,O23-N23)</f>
        <v>1.5</v>
      </c>
      <c r="Q23" s="1046">
        <f t="shared" ref="Q23" si="12">P23/N23</f>
        <v>5.6603773584905662E-2</v>
      </c>
      <c r="R23" s="1047">
        <f>(1-$R$9)*O23</f>
        <v>19.599999999999998</v>
      </c>
      <c r="S23" s="1048"/>
      <c r="T23" s="1047">
        <f>(1-$T$9)*$N23</f>
        <v>15.899999999999999</v>
      </c>
      <c r="U23" s="1045">
        <f>R23-T23</f>
        <v>3.6999999999999993</v>
      </c>
      <c r="V23" s="1046">
        <f>U23/T23</f>
        <v>0.23270440251572325</v>
      </c>
      <c r="Y23" s="102" t="str">
        <f>_xlfn.CONCAT(TEXT($D23,"#.000"),""""," - ",TEXT($E23,"#.000"),"""")</f>
        <v>.636" - .760"</v>
      </c>
      <c r="Z23" s="104" t="s">
        <v>194</v>
      </c>
      <c r="AA23" s="288">
        <f>L23</f>
        <v>27</v>
      </c>
      <c r="AB23" s="104" t="s">
        <v>206</v>
      </c>
      <c r="AC23" s="506">
        <f>O23</f>
        <v>28</v>
      </c>
    </row>
    <row r="24" spans="2:29" x14ac:dyDescent="0.25">
      <c r="B24" s="18"/>
      <c r="C24" s="18"/>
      <c r="D24" s="494"/>
      <c r="E24" s="494"/>
      <c r="G24" s="496"/>
      <c r="H24" s="496"/>
      <c r="I24" s="6"/>
      <c r="J24" s="528"/>
      <c r="K24" s="1044"/>
      <c r="L24" s="252"/>
      <c r="M24" s="252"/>
      <c r="N24" s="838"/>
      <c r="O24" s="838"/>
      <c r="P24" s="1049"/>
      <c r="Q24" s="1050"/>
      <c r="R24" s="1051"/>
      <c r="S24" s="1048"/>
      <c r="T24" s="1051"/>
      <c r="U24" s="330"/>
      <c r="V24" s="1052"/>
      <c r="Y24" s="206" t="str">
        <f>_xlfn.CONCAT(TEXT($G23,"#.00"),"mm"," - ",TEXT($H23,"0.00"),"mm")</f>
        <v>16.14mm - 19.30mm</v>
      </c>
      <c r="Z24" s="104"/>
      <c r="AA24" s="288"/>
      <c r="AB24" s="104"/>
      <c r="AC24" s="506"/>
    </row>
    <row r="25" spans="2:29" x14ac:dyDescent="0.25">
      <c r="B25" s="18">
        <v>8</v>
      </c>
      <c r="C25" s="18"/>
      <c r="D25" s="494">
        <v>0.76100000000000001</v>
      </c>
      <c r="E25" s="494">
        <v>1.0149999999999999</v>
      </c>
      <c r="G25" s="496">
        <v>19.309999999999999</v>
      </c>
      <c r="H25" s="496">
        <v>25.65</v>
      </c>
      <c r="I25" s="6"/>
      <c r="J25" s="528">
        <v>0.04</v>
      </c>
      <c r="K25" s="1044">
        <v>34.25</v>
      </c>
      <c r="L25" s="252">
        <f>MROUND((1-J25)*O25,1)</f>
        <v>33</v>
      </c>
      <c r="M25" s="252"/>
      <c r="N25" s="838">
        <v>40.25</v>
      </c>
      <c r="O25" s="838">
        <v>34</v>
      </c>
      <c r="P25" s="1045">
        <f t="shared" ref="P25" si="13">IF(O25=0,0,O25-N25)</f>
        <v>-6.25</v>
      </c>
      <c r="Q25" s="1046">
        <f t="shared" ref="Q25" si="14">P25/N25</f>
        <v>-0.15527950310559005</v>
      </c>
      <c r="R25" s="1047">
        <f>(1-$R$9)*O25</f>
        <v>23.799999999999997</v>
      </c>
      <c r="S25" s="1048"/>
      <c r="T25" s="1047">
        <f>(1-$T$9)*$N25</f>
        <v>24.15</v>
      </c>
      <c r="U25" s="1045">
        <f>R25-T25</f>
        <v>-0.35000000000000142</v>
      </c>
      <c r="V25" s="1046">
        <f>U25/T25</f>
        <v>-1.4492753623188465E-2</v>
      </c>
      <c r="Y25" s="111" t="str">
        <f>_xlfn.CONCAT(TEXT($D25,"#.000"),""""," - ",TEXT($E25,"#.000"),"""")</f>
        <v>.761" - 1.015"</v>
      </c>
      <c r="Z25" s="112" t="s">
        <v>195</v>
      </c>
      <c r="AA25" s="286">
        <f>L25</f>
        <v>33</v>
      </c>
      <c r="AB25" s="112" t="s">
        <v>207</v>
      </c>
      <c r="AC25" s="508">
        <f>O25</f>
        <v>34</v>
      </c>
    </row>
    <row r="26" spans="2:29" ht="15.75" thickBot="1" x14ac:dyDescent="0.3">
      <c r="D26" s="494"/>
      <c r="E26" s="494"/>
      <c r="G26" s="37"/>
      <c r="H26" s="37"/>
      <c r="J26" s="475"/>
      <c r="K26" s="35"/>
      <c r="L26" s="527"/>
      <c r="M26" s="34"/>
      <c r="N26" s="346"/>
      <c r="Y26" s="289" t="str">
        <f>_xlfn.CONCAT(TEXT($G25,"#.00"),"mm"," - ",TEXT($H25,"0.00"),"mm")</f>
        <v>19.31mm - 25.65mm</v>
      </c>
      <c r="Z26" s="512"/>
      <c r="AA26" s="513"/>
      <c r="AB26" s="512"/>
      <c r="AC26" s="514"/>
    </row>
    <row r="27" spans="2:29" ht="9.9499999999999993" customHeight="1" x14ac:dyDescent="0.25">
      <c r="D27" s="5"/>
      <c r="E27" s="5"/>
      <c r="G27" s="37"/>
      <c r="H27" s="37"/>
      <c r="J27" s="475"/>
      <c r="L27" s="34"/>
      <c r="M27" s="34"/>
      <c r="N27" s="346"/>
      <c r="O27" s="346"/>
      <c r="P27" s="346"/>
      <c r="Q27" s="346"/>
      <c r="R27" s="519"/>
      <c r="S27" s="520"/>
      <c r="T27" s="520"/>
      <c r="U27" s="40"/>
      <c r="V27" s="40"/>
      <c r="Z27" s="12"/>
    </row>
    <row r="28" spans="2:29" x14ac:dyDescent="0.25">
      <c r="D28" s="5"/>
      <c r="E28" s="5"/>
      <c r="G28" s="37"/>
      <c r="H28" s="37"/>
      <c r="J28" s="475"/>
      <c r="L28" s="34"/>
      <c r="M28" s="34"/>
      <c r="N28" s="396" t="s">
        <v>635</v>
      </c>
      <c r="O28" s="346"/>
      <c r="P28" s="346"/>
      <c r="Q28" s="346"/>
      <c r="R28" s="519"/>
      <c r="S28" s="520"/>
      <c r="T28" s="520"/>
      <c r="U28" s="40"/>
      <c r="V28" s="40"/>
      <c r="Y28" s="557" t="s">
        <v>743</v>
      </c>
      <c r="Z28" s="12"/>
    </row>
    <row r="29" spans="2:29" x14ac:dyDescent="0.25">
      <c r="E29" s="2" t="s">
        <v>396</v>
      </c>
      <c r="H29" s="37"/>
      <c r="J29" s="475"/>
      <c r="L29" s="34"/>
      <c r="M29" s="34"/>
      <c r="N29" s="13" t="s">
        <v>490</v>
      </c>
      <c r="Y29" s="439" t="str">
        <f>_xlfn.CONCAT($N$28,"  ",N29)</f>
        <v>•  Single-end handles come with a green (Go) cap, unless otherwise specified</v>
      </c>
    </row>
    <row r="30" spans="2:29" x14ac:dyDescent="0.25">
      <c r="E30" s="13" t="s">
        <v>615</v>
      </c>
      <c r="H30" s="37"/>
      <c r="J30" s="475"/>
      <c r="N30" s="13" t="s">
        <v>741</v>
      </c>
      <c r="Y30" s="439" t="str">
        <f t="shared" ref="Y30:Y31" si="15">_xlfn.CONCAT($N$28,"  ",N30)</f>
        <v>•  Double-end handles come with a green (Go) and red (NoGo) end cap</v>
      </c>
    </row>
    <row r="31" spans="2:29" x14ac:dyDescent="0.25">
      <c r="D31" s="5"/>
      <c r="E31" s="5"/>
      <c r="G31" s="37"/>
      <c r="H31" s="37"/>
      <c r="J31" s="475"/>
      <c r="N31" s="13" t="s">
        <v>487</v>
      </c>
      <c r="Y31" s="439" t="str">
        <f t="shared" si="15"/>
        <v>•  Bushings sold separately</v>
      </c>
    </row>
    <row r="32" spans="2:29" x14ac:dyDescent="0.25">
      <c r="D32" s="5"/>
      <c r="E32" s="5"/>
      <c r="G32" s="37"/>
      <c r="H32" s="37"/>
      <c r="J32" s="475"/>
      <c r="N32" s="13"/>
      <c r="Y32" s="439"/>
    </row>
    <row r="33" spans="1:27" ht="15.75" thickBot="1" x14ac:dyDescent="0.3">
      <c r="D33" s="5"/>
      <c r="E33" s="5"/>
      <c r="G33" s="37"/>
      <c r="H33" s="37"/>
      <c r="J33" s="475"/>
      <c r="N33" s="13"/>
      <c r="Y33" s="439"/>
    </row>
    <row r="34" spans="1:27" ht="16.899999999999999" customHeight="1" x14ac:dyDescent="0.25">
      <c r="B34" s="18"/>
      <c r="D34" s="5"/>
      <c r="E34" s="5"/>
      <c r="G34" s="37"/>
      <c r="H34" s="37"/>
      <c r="N34" s="249" t="s">
        <v>622</v>
      </c>
      <c r="O34" s="249" t="s">
        <v>623</v>
      </c>
      <c r="P34" s="375" t="s">
        <v>626</v>
      </c>
      <c r="Q34" s="19"/>
      <c r="R34" s="1056">
        <v>0.3</v>
      </c>
      <c r="T34" s="374">
        <v>0.4</v>
      </c>
      <c r="U34" s="375" t="s">
        <v>626</v>
      </c>
      <c r="V34" s="19"/>
      <c r="Y34" s="592" t="s">
        <v>604</v>
      </c>
      <c r="Z34" s="592"/>
      <c r="AA34" s="593"/>
    </row>
    <row r="35" spans="1:27" x14ac:dyDescent="0.25">
      <c r="B35" s="18"/>
      <c r="D35" s="5"/>
      <c r="E35" s="5"/>
      <c r="G35" s="37"/>
      <c r="H35" s="37"/>
      <c r="L35" s="3"/>
      <c r="Y35" s="220" t="s">
        <v>3</v>
      </c>
      <c r="Z35" s="203" t="s">
        <v>397</v>
      </c>
      <c r="AA35" s="313" t="s">
        <v>568</v>
      </c>
    </row>
    <row r="36" spans="1:27" ht="15" customHeight="1" x14ac:dyDescent="0.25">
      <c r="B36" s="18">
        <v>1</v>
      </c>
      <c r="D36" s="494">
        <v>1.0999999999999999E-2</v>
      </c>
      <c r="E36" s="494">
        <v>6.0499999999999998E-2</v>
      </c>
      <c r="F36" s="495"/>
      <c r="G36" s="496">
        <v>0.28000000000000003</v>
      </c>
      <c r="H36" s="496">
        <v>1.51</v>
      </c>
      <c r="L36" s="3" t="s">
        <v>399</v>
      </c>
      <c r="N36" s="838">
        <v>28.25</v>
      </c>
      <c r="O36" s="838">
        <v>30</v>
      </c>
      <c r="P36" s="1045">
        <f t="shared" ref="P36" si="16">IF(O36=0,0,O36-N36)</f>
        <v>1.75</v>
      </c>
      <c r="Q36" s="1046">
        <f>P36/N36</f>
        <v>6.1946902654867256E-2</v>
      </c>
      <c r="R36" s="1047">
        <f>(1-$R$34)*O36</f>
        <v>21</v>
      </c>
      <c r="S36" s="1048"/>
      <c r="T36" s="1047">
        <f>(1-$T$34)*$N36</f>
        <v>16.95</v>
      </c>
      <c r="U36" s="1045">
        <f>R36-T36</f>
        <v>4.0500000000000007</v>
      </c>
      <c r="V36" s="1046">
        <f>U36/T36</f>
        <v>0.23893805309734517</v>
      </c>
      <c r="Y36" s="842" t="str">
        <f>_xlfn.CONCAT(TEXT($D36,"#.000#"),""""," - ",TEXT($E36,"#.000#"),"""")</f>
        <v>.011" - .0605"</v>
      </c>
      <c r="Z36" s="229" t="s">
        <v>399</v>
      </c>
      <c r="AA36" s="875">
        <f>O36</f>
        <v>30</v>
      </c>
    </row>
    <row r="37" spans="1:27" ht="15" customHeight="1" x14ac:dyDescent="0.25">
      <c r="B37" s="18"/>
      <c r="D37" s="4"/>
      <c r="E37" s="5"/>
      <c r="G37" s="496"/>
      <c r="H37" s="496"/>
      <c r="L37" s="3"/>
      <c r="N37" s="838"/>
      <c r="O37" s="838" t="s">
        <v>733</v>
      </c>
      <c r="P37" s="1049"/>
      <c r="Q37" s="1050"/>
      <c r="R37" s="1051"/>
      <c r="S37" s="1048"/>
      <c r="T37" s="1051"/>
      <c r="U37" s="330"/>
      <c r="V37" s="1052"/>
      <c r="Y37" s="916" t="str">
        <f>_xlfn.CONCAT(TEXT($G36,"#.00"),"mm"," - ",TEXT($H36,"0.00"),"mm")</f>
        <v>.28mm - 1.51mm</v>
      </c>
      <c r="Z37" s="229"/>
      <c r="AA37" s="917"/>
    </row>
    <row r="38" spans="1:27" ht="15" customHeight="1" x14ac:dyDescent="0.25">
      <c r="B38" s="18">
        <v>2</v>
      </c>
      <c r="D38" s="494">
        <v>6.0999999999999999E-2</v>
      </c>
      <c r="E38" s="494">
        <v>0.2505</v>
      </c>
      <c r="G38" s="496">
        <v>1.52</v>
      </c>
      <c r="H38" s="496">
        <v>7.71</v>
      </c>
      <c r="L38" s="3" t="s">
        <v>400</v>
      </c>
      <c r="N38" s="838">
        <v>30.25</v>
      </c>
      <c r="O38" s="838">
        <v>32</v>
      </c>
      <c r="P38" s="1045">
        <f t="shared" ref="P38" si="17">IF(O38=0,0,O38-N38)</f>
        <v>1.75</v>
      </c>
      <c r="Q38" s="1046">
        <f t="shared" ref="Q38" si="18">P38/N38</f>
        <v>5.7851239669421489E-2</v>
      </c>
      <c r="R38" s="1047">
        <f>(1-$R$34)*O38</f>
        <v>22.4</v>
      </c>
      <c r="S38" s="1048"/>
      <c r="T38" s="1047">
        <f>(1-$T$34)*$N38</f>
        <v>18.149999999999999</v>
      </c>
      <c r="U38" s="1045">
        <f>R38-T38</f>
        <v>4.25</v>
      </c>
      <c r="V38" s="1046">
        <f>U38/T38</f>
        <v>0.23415977961432508</v>
      </c>
      <c r="Y38" s="918" t="str">
        <f>_xlfn.CONCAT(TEXT($D38,"#.000#"),""""," - ",TEXT($E38,"#.000#"),"""")</f>
        <v>.061" - .2505"</v>
      </c>
      <c r="Z38" s="883" t="s">
        <v>400</v>
      </c>
      <c r="AA38" s="884">
        <f>O38</f>
        <v>32</v>
      </c>
    </row>
    <row r="39" spans="1:27" ht="15" customHeight="1" x14ac:dyDescent="0.25">
      <c r="B39" s="18"/>
      <c r="D39" s="494"/>
      <c r="E39" s="494"/>
      <c r="G39" s="496"/>
      <c r="H39" s="496"/>
      <c r="L39" s="3"/>
      <c r="N39" s="838"/>
      <c r="O39" s="838"/>
      <c r="P39" s="1049"/>
      <c r="Q39" s="1050"/>
      <c r="R39" s="1051"/>
      <c r="S39" s="1048"/>
      <c r="T39" s="1051"/>
      <c r="U39" s="330"/>
      <c r="V39" s="1052"/>
      <c r="Y39" s="919" t="str">
        <f>_xlfn.CONCAT(TEXT($G38,"#.00"),"mm"," - ",TEXT($H38,"0.00"),"mm")</f>
        <v>1.52mm - 7.71mm</v>
      </c>
      <c r="Z39" s="886"/>
      <c r="AA39" s="887"/>
    </row>
    <row r="40" spans="1:27" ht="15" customHeight="1" x14ac:dyDescent="0.25">
      <c r="B40" s="18">
        <v>3</v>
      </c>
      <c r="D40" s="494">
        <v>0.251</v>
      </c>
      <c r="E40" s="494">
        <v>0.50049999999999994</v>
      </c>
      <c r="G40" s="496">
        <v>7.72</v>
      </c>
      <c r="H40" s="496">
        <v>12.71</v>
      </c>
      <c r="L40" s="3" t="s">
        <v>401</v>
      </c>
      <c r="N40" s="838">
        <v>33.5</v>
      </c>
      <c r="O40" s="838">
        <v>35</v>
      </c>
      <c r="P40" s="1045">
        <f t="shared" ref="P40" si="19">IF(O40=0,0,O40-N40)</f>
        <v>1.5</v>
      </c>
      <c r="Q40" s="1046">
        <f t="shared" ref="Q40" si="20">P40/N40</f>
        <v>4.4776119402985072E-2</v>
      </c>
      <c r="R40" s="1047">
        <f>(1-$R$34)*O40</f>
        <v>24.5</v>
      </c>
      <c r="S40" s="1048"/>
      <c r="T40" s="1047">
        <f>(1-$T$34)*$N40</f>
        <v>20.099999999999998</v>
      </c>
      <c r="U40" s="1045">
        <f>R40-T40</f>
        <v>4.4000000000000021</v>
      </c>
      <c r="V40" s="1046">
        <f>U40/T40</f>
        <v>0.21890547263681606</v>
      </c>
      <c r="Y40" s="842" t="str">
        <f>_xlfn.CONCAT(TEXT($D40,"#.000#"),""""," - ",TEXT($E40,"#.000#"),"""")</f>
        <v>.251" - .5005"</v>
      </c>
      <c r="Z40" s="229" t="s">
        <v>401</v>
      </c>
      <c r="AA40" s="875">
        <f>O40</f>
        <v>35</v>
      </c>
    </row>
    <row r="41" spans="1:27" ht="15" customHeight="1" x14ac:dyDescent="0.25">
      <c r="B41" s="18"/>
      <c r="D41" s="494"/>
      <c r="E41" s="494"/>
      <c r="G41" s="496"/>
      <c r="H41" s="496"/>
      <c r="L41" s="3"/>
      <c r="N41" s="838"/>
      <c r="O41" s="838"/>
      <c r="P41" s="1049"/>
      <c r="Q41" s="1050"/>
      <c r="R41" s="1051"/>
      <c r="S41" s="1048"/>
      <c r="T41" s="1051"/>
      <c r="U41" s="330"/>
      <c r="V41" s="1052"/>
      <c r="Y41" s="842" t="str">
        <f>_xlfn.CONCAT(TEXT($G40,"#.00"),"mm"," - ",TEXT($H40,"0.00"),"mm")</f>
        <v>7.72mm - 12.71mm</v>
      </c>
      <c r="Z41" s="229"/>
      <c r="AA41" s="875"/>
    </row>
    <row r="42" spans="1:27" ht="15" customHeight="1" x14ac:dyDescent="0.25">
      <c r="B42" s="18">
        <v>4</v>
      </c>
      <c r="D42" s="494">
        <v>0.50099999999999989</v>
      </c>
      <c r="E42" s="494">
        <v>0.62549999999999994</v>
      </c>
      <c r="G42" s="496">
        <v>12.72</v>
      </c>
      <c r="H42" s="496">
        <v>15.31</v>
      </c>
      <c r="L42" s="3" t="s">
        <v>402</v>
      </c>
      <c r="N42" s="838">
        <v>35.5</v>
      </c>
      <c r="O42" s="838">
        <v>37</v>
      </c>
      <c r="P42" s="1045">
        <f t="shared" ref="P42" si="21">IF(O42=0,0,O42-N42)</f>
        <v>1.5</v>
      </c>
      <c r="Q42" s="1046">
        <f t="shared" ref="Q42" si="22">P42/N42</f>
        <v>4.2253521126760563E-2</v>
      </c>
      <c r="R42" s="1047">
        <f>(1-$R$34)*O42</f>
        <v>25.9</v>
      </c>
      <c r="S42" s="1048"/>
      <c r="T42" s="1047">
        <f>(1-$T$34)*$N42</f>
        <v>21.3</v>
      </c>
      <c r="U42" s="1045">
        <f>R42-T42</f>
        <v>4.5999999999999979</v>
      </c>
      <c r="V42" s="1046">
        <f>U42/T42</f>
        <v>0.21596244131455389</v>
      </c>
      <c r="Y42" s="918" t="str">
        <f>_xlfn.CONCAT(TEXT($D42,"#.000#"),""""," - ",TEXT($E42,"#.000#"),"""")</f>
        <v>.501" - .6255"</v>
      </c>
      <c r="Z42" s="883" t="s">
        <v>402</v>
      </c>
      <c r="AA42" s="884">
        <f>O42</f>
        <v>37</v>
      </c>
    </row>
    <row r="43" spans="1:27" ht="15" customHeight="1" x14ac:dyDescent="0.25">
      <c r="B43" s="18"/>
      <c r="D43" s="494"/>
      <c r="E43" s="494"/>
      <c r="G43" s="496"/>
      <c r="H43" s="496"/>
      <c r="L43" s="3"/>
      <c r="N43" s="838"/>
      <c r="O43" s="838"/>
      <c r="P43" s="1049"/>
      <c r="Q43" s="1050"/>
      <c r="R43" s="1051"/>
      <c r="S43" s="1048"/>
      <c r="T43" s="1051"/>
      <c r="U43" s="330"/>
      <c r="V43" s="1052"/>
      <c r="Y43" s="920" t="str">
        <f>_xlfn.CONCAT(TEXT($G42,"#.00"),"mm"," - ",TEXT($H42,"0.00"),"mm")</f>
        <v>12.72mm - 15.31mm</v>
      </c>
      <c r="Z43" s="886"/>
      <c r="AA43" s="887"/>
    </row>
    <row r="44" spans="1:27" ht="15" customHeight="1" x14ac:dyDescent="0.25">
      <c r="B44" s="18">
        <v>5</v>
      </c>
      <c r="D44" s="494">
        <v>0.62599999999999989</v>
      </c>
      <c r="E44" s="494">
        <v>0.75049999999999994</v>
      </c>
      <c r="G44" s="496">
        <v>15.32</v>
      </c>
      <c r="H44" s="496">
        <v>17.809999999999999</v>
      </c>
      <c r="L44" s="3" t="s">
        <v>403</v>
      </c>
      <c r="N44" s="838">
        <v>40.75</v>
      </c>
      <c r="O44" s="838">
        <v>42</v>
      </c>
      <c r="P44" s="1045">
        <f t="shared" ref="P44" si="23">IF(O44=0,0,O44-N44)</f>
        <v>1.25</v>
      </c>
      <c r="Q44" s="1046">
        <f t="shared" ref="Q44" si="24">P44/N44</f>
        <v>3.0674846625766871E-2</v>
      </c>
      <c r="R44" s="1047">
        <f>(1-$R$34)*O44</f>
        <v>29.4</v>
      </c>
      <c r="S44" s="1048"/>
      <c r="T44" s="1047">
        <f>(1-$T$34)*$N44</f>
        <v>24.45</v>
      </c>
      <c r="U44" s="1045">
        <f>R44-T44</f>
        <v>4.9499999999999993</v>
      </c>
      <c r="V44" s="1046">
        <f>U44/T44</f>
        <v>0.20245398773006132</v>
      </c>
      <c r="Y44" s="842" t="str">
        <f>_xlfn.CONCAT(TEXT($D44,"#.000#"),""""," - ",TEXT($E44,"#.000#"),"""")</f>
        <v>.626" - .7505"</v>
      </c>
      <c r="Z44" s="229" t="s">
        <v>403</v>
      </c>
      <c r="AA44" s="875">
        <f>O44</f>
        <v>42</v>
      </c>
    </row>
    <row r="45" spans="1:27" ht="15" customHeight="1" x14ac:dyDescent="0.25">
      <c r="A45" s="46"/>
      <c r="B45" s="18"/>
      <c r="D45" s="494"/>
      <c r="E45" s="494"/>
      <c r="G45" s="496"/>
      <c r="H45" s="496"/>
      <c r="L45" s="3"/>
      <c r="N45" s="838"/>
      <c r="O45" s="838"/>
      <c r="P45" s="1049"/>
      <c r="Q45" s="1050"/>
      <c r="R45" s="1051"/>
      <c r="S45" s="1048"/>
      <c r="T45" s="1051"/>
      <c r="U45" s="330"/>
      <c r="V45" s="1052"/>
      <c r="Y45" s="842" t="str">
        <f>_xlfn.CONCAT(TEXT($G44,"#.00"),"mm"," - ",TEXT($H44,"0.00"),"mm")</f>
        <v>15.32mm - 17.81mm</v>
      </c>
      <c r="Z45" s="229"/>
      <c r="AA45" s="875"/>
    </row>
    <row r="46" spans="1:27" ht="15" customHeight="1" x14ac:dyDescent="0.25">
      <c r="B46" s="18">
        <v>6</v>
      </c>
      <c r="D46" s="494">
        <v>0.75099999999999989</v>
      </c>
      <c r="E46" s="494">
        <v>0.83250000000000002</v>
      </c>
      <c r="G46" s="496">
        <v>17.82</v>
      </c>
      <c r="H46" s="496">
        <v>20.37</v>
      </c>
      <c r="L46" s="3" t="s">
        <v>404</v>
      </c>
      <c r="N46" s="838">
        <v>54.75</v>
      </c>
      <c r="O46" s="838">
        <v>50</v>
      </c>
      <c r="P46" s="1045">
        <f t="shared" ref="P46" si="25">IF(O46=0,0,O46-N46)</f>
        <v>-4.75</v>
      </c>
      <c r="Q46" s="1046">
        <f t="shared" ref="Q46" si="26">P46/N46</f>
        <v>-8.6757990867579904E-2</v>
      </c>
      <c r="R46" s="1047">
        <f>(1-$R$34)*O46</f>
        <v>35</v>
      </c>
      <c r="S46" s="1048"/>
      <c r="T46" s="1047">
        <f>(1-$T$34)*$N46</f>
        <v>32.85</v>
      </c>
      <c r="U46" s="1045">
        <f>R46-T46</f>
        <v>2.1499999999999986</v>
      </c>
      <c r="V46" s="1046">
        <f>U46/T46</f>
        <v>6.5449010654490061E-2</v>
      </c>
      <c r="Y46" s="918" t="str">
        <f>_xlfn.CONCAT(TEXT($D46,"#.000#"),""""," - ",TEXT($E46,"#.000#"),"""")</f>
        <v>.751" - .8325"</v>
      </c>
      <c r="Z46" s="883" t="s">
        <v>404</v>
      </c>
      <c r="AA46" s="884">
        <f>O46</f>
        <v>50</v>
      </c>
    </row>
    <row r="47" spans="1:27" ht="15" customHeight="1" x14ac:dyDescent="0.25">
      <c r="B47" s="18"/>
      <c r="D47" s="494"/>
      <c r="E47" s="494"/>
      <c r="G47" s="496"/>
      <c r="H47" s="496"/>
      <c r="L47" s="3"/>
      <c r="N47" s="838"/>
      <c r="O47" s="838"/>
      <c r="P47" s="1049"/>
      <c r="Q47" s="1050"/>
      <c r="R47" s="1051"/>
      <c r="S47" s="1048"/>
      <c r="T47" s="1051"/>
      <c r="U47" s="330"/>
      <c r="V47" s="1052"/>
      <c r="Y47" s="920" t="str">
        <f>_xlfn.CONCAT(TEXT($G46,"#.00"),"mm"," - ",TEXT($H46,"0.00"),"mm")</f>
        <v>17.82mm - 20.37mm</v>
      </c>
      <c r="Z47" s="886"/>
      <c r="AA47" s="887"/>
    </row>
    <row r="48" spans="1:27" ht="15" customHeight="1" x14ac:dyDescent="0.25">
      <c r="B48" s="18">
        <v>7</v>
      </c>
      <c r="D48" s="494">
        <v>0.83299999999999996</v>
      </c>
      <c r="E48" s="494">
        <v>1.0004999999999999</v>
      </c>
      <c r="G48" s="496">
        <v>20.38</v>
      </c>
      <c r="H48" s="496">
        <v>25.41</v>
      </c>
      <c r="L48" s="3" t="s">
        <v>405</v>
      </c>
      <c r="N48" s="838">
        <v>56.5</v>
      </c>
      <c r="O48" s="838">
        <v>58</v>
      </c>
      <c r="P48" s="1045">
        <f t="shared" ref="P48" si="27">IF(O48=0,0,O48-N48)</f>
        <v>1.5</v>
      </c>
      <c r="Q48" s="1046">
        <f t="shared" ref="Q48" si="28">P48/N48</f>
        <v>2.6548672566371681E-2</v>
      </c>
      <c r="R48" s="1047">
        <f>(1-$R$34)*O48</f>
        <v>40.599999999999994</v>
      </c>
      <c r="S48" s="1048"/>
      <c r="T48" s="1047">
        <f>(1-$T$34)*$N48</f>
        <v>33.9</v>
      </c>
      <c r="U48" s="1045">
        <f>R48-T48</f>
        <v>6.6999999999999957</v>
      </c>
      <c r="V48" s="1046">
        <f>U48/T48</f>
        <v>0.19764011799410017</v>
      </c>
      <c r="Y48" s="842" t="str">
        <f>_xlfn.CONCAT(TEXT($D48,"#.000#"),""""," - ",TEXT($E48,"#.000#"),"""")</f>
        <v>.833" - 1.0005"</v>
      </c>
      <c r="Z48" s="229" t="s">
        <v>405</v>
      </c>
      <c r="AA48" s="875">
        <f>O48</f>
        <v>58</v>
      </c>
    </row>
    <row r="49" spans="2:29" ht="15" customHeight="1" x14ac:dyDescent="0.25">
      <c r="B49" s="18"/>
      <c r="D49" s="494"/>
      <c r="E49" s="494"/>
      <c r="G49" s="496"/>
      <c r="H49" s="496"/>
      <c r="L49" s="3"/>
      <c r="N49" s="838"/>
      <c r="O49" s="838"/>
      <c r="P49" s="1049"/>
      <c r="Q49" s="1050"/>
      <c r="R49" s="1051"/>
      <c r="S49" s="1048"/>
      <c r="T49" s="1051"/>
      <c r="U49" s="330"/>
      <c r="V49" s="1052"/>
      <c r="Y49" s="842" t="str">
        <f>_xlfn.CONCAT(TEXT($G48,"#.00"),"mm"," - ",TEXT($H48,"0.00"),"mm")</f>
        <v>20.38mm - 25.41mm</v>
      </c>
      <c r="Z49" s="921"/>
      <c r="AA49" s="880"/>
      <c r="AC49" s="11"/>
    </row>
    <row r="50" spans="2:29" ht="15" customHeight="1" x14ac:dyDescent="0.25">
      <c r="B50" s="18"/>
      <c r="D50" s="5"/>
      <c r="E50" s="5"/>
      <c r="G50" s="37"/>
      <c r="H50" s="37"/>
      <c r="L50" s="3"/>
      <c r="N50" s="838"/>
      <c r="O50" s="838"/>
      <c r="P50" s="1049"/>
      <c r="Q50" s="1050"/>
      <c r="R50" s="1051"/>
      <c r="S50" s="1048"/>
      <c r="T50" s="1051"/>
      <c r="U50" s="330"/>
      <c r="V50" s="1052"/>
      <c r="Y50" s="290" t="s">
        <v>407</v>
      </c>
      <c r="Z50" s="341"/>
      <c r="AA50" s="342"/>
      <c r="AC50" s="11"/>
    </row>
    <row r="51" spans="2:29" ht="15" customHeight="1" x14ac:dyDescent="0.25">
      <c r="B51" s="18">
        <v>8</v>
      </c>
      <c r="D51" s="494">
        <v>1.0999999999999999E-2</v>
      </c>
      <c r="E51" s="494">
        <v>1.0004999999999999</v>
      </c>
      <c r="G51" s="496">
        <v>0.28000000000000003</v>
      </c>
      <c r="H51" s="496">
        <v>25.41</v>
      </c>
      <c r="L51" s="3" t="s">
        <v>406</v>
      </c>
      <c r="N51" s="838">
        <v>238.5</v>
      </c>
      <c r="O51" s="838">
        <v>240</v>
      </c>
      <c r="P51" s="1045">
        <f t="shared" ref="P51" si="29">IF(O51=0,0,O51-N51)</f>
        <v>1.5</v>
      </c>
      <c r="Q51" s="1046">
        <f t="shared" ref="Q51" si="30">P51/N51</f>
        <v>6.2893081761006293E-3</v>
      </c>
      <c r="R51" s="1047">
        <f>(1-$R$34)*O51</f>
        <v>168</v>
      </c>
      <c r="S51" s="1048"/>
      <c r="T51" s="1047">
        <f>(1-$T$34)*$N51</f>
        <v>143.1</v>
      </c>
      <c r="U51" s="1045">
        <f>R51-T51</f>
        <v>24.900000000000006</v>
      </c>
      <c r="V51" s="1046">
        <f>U51/T51</f>
        <v>0.17400419287211744</v>
      </c>
      <c r="Y51" s="515" t="str">
        <f>_xlfn.CONCAT(TEXT($D51,"#.000#"),""""," - ",TEXT($E51,"#.000#"),"""")</f>
        <v>.011" - 1.0005"</v>
      </c>
      <c r="Z51" s="116" t="s">
        <v>406</v>
      </c>
      <c r="AA51" s="292">
        <f>O51</f>
        <v>240</v>
      </c>
    </row>
    <row r="52" spans="2:29" s="40" customFormat="1" ht="15" customHeight="1" x14ac:dyDescent="0.25">
      <c r="B52" s="18"/>
      <c r="D52" s="497"/>
      <c r="E52" s="497"/>
      <c r="G52" s="498"/>
      <c r="H52" s="498"/>
      <c r="L52" s="618"/>
      <c r="N52" s="1053"/>
      <c r="O52" s="1053"/>
      <c r="P52" s="1053"/>
      <c r="Q52" s="1053"/>
      <c r="R52" s="1054"/>
      <c r="S52" s="1055"/>
      <c r="T52" s="1055"/>
      <c r="U52" s="335"/>
      <c r="V52" s="335"/>
      <c r="Y52" s="604" t="str">
        <f>_xlfn.CONCAT(TEXT($G51,"#.00"),"mm"," - ",TEXT($H51,"0.00"),"mm")</f>
        <v>.28mm - 25.41mm</v>
      </c>
      <c r="Z52" s="605"/>
      <c r="AA52" s="606"/>
      <c r="AB52" s="335"/>
      <c r="AC52" s="335"/>
    </row>
    <row r="53" spans="2:29" ht="4.1500000000000004" customHeight="1" thickBot="1" x14ac:dyDescent="0.3">
      <c r="B53" s="18"/>
      <c r="D53" s="5"/>
      <c r="E53" s="5"/>
      <c r="G53" s="37"/>
      <c r="H53" s="37"/>
      <c r="L53" s="3"/>
      <c r="Y53" s="516"/>
      <c r="Z53" s="517"/>
      <c r="AA53" s="518"/>
    </row>
    <row r="54" spans="2:29" ht="7.9" customHeight="1" x14ac:dyDescent="0.25">
      <c r="B54" s="18"/>
      <c r="D54" s="5"/>
      <c r="E54" s="5"/>
      <c r="G54" s="37"/>
      <c r="H54" s="37"/>
      <c r="L54" s="35"/>
    </row>
    <row r="55" spans="2:29" x14ac:dyDescent="0.25">
      <c r="B55" s="18"/>
      <c r="D55" s="5"/>
      <c r="E55" s="5"/>
      <c r="G55" s="37"/>
      <c r="H55" s="37"/>
      <c r="L55" s="35"/>
      <c r="Y55" s="618" t="s">
        <v>398</v>
      </c>
    </row>
    <row r="56" spans="2:29" x14ac:dyDescent="0.25">
      <c r="B56" s="18"/>
      <c r="D56" s="5"/>
      <c r="E56" s="5"/>
      <c r="G56" s="37"/>
      <c r="H56" s="37"/>
      <c r="L56" s="35"/>
    </row>
    <row r="57" spans="2:29" x14ac:dyDescent="0.25">
      <c r="B57" s="18"/>
      <c r="D57" s="5"/>
      <c r="E57" s="5"/>
      <c r="G57" s="37"/>
      <c r="H57" s="37"/>
    </row>
    <row r="58" spans="2:29" x14ac:dyDescent="0.25">
      <c r="D58" s="5"/>
      <c r="E58" s="5"/>
      <c r="G58" s="37"/>
      <c r="H58" s="37"/>
    </row>
  </sheetData>
  <sheetProtection algorithmName="SHA-512" hashValue="MQbELFQD1roMuz2MS+PScSgb9juqv1GJdOnw9OMWwk/AGL3sy3MIe/SgPcw08rntwOVkI0yIZworn0WOpNPzzg==" saltValue="QY9/eYywQk0Wjz9QHoiQ/A==" spinCount="100000" sheet="1" objects="1" scenarios="1"/>
  <mergeCells count="1">
    <mergeCell ref="Y9:Y10"/>
  </mergeCells>
  <conditionalFormatting sqref="Y28">
    <cfRule type="expression" dxfId="9" priority="2">
      <formula>$Q28="y"</formula>
    </cfRule>
  </conditionalFormatting>
  <conditionalFormatting sqref="Y29:Y33">
    <cfRule type="expression" dxfId="8" priority="1">
      <formula>#REF!="y"</formula>
    </cfRule>
  </conditionalFormatting>
  <pageMargins left="0" right="0" top="0.7" bottom="0.75" header="0.3" footer="0.3"/>
  <pageSetup scale="93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DD67-8E0E-41C8-915E-AFC7D316757E}">
  <sheetPr>
    <outlinePr summaryBelow="0"/>
    <pageSetUpPr autoPageBreaks="0"/>
  </sheetPr>
  <dimension ref="A1:AE100"/>
  <sheetViews>
    <sheetView showGridLines="0" zoomScale="90" zoomScaleNormal="90" workbookViewId="0">
      <selection activeCell="W72" sqref="W72"/>
    </sheetView>
  </sheetViews>
  <sheetFormatPr defaultColWidth="9.140625" defaultRowHeight="15.75" outlineLevelCol="1" x14ac:dyDescent="0.25"/>
  <cols>
    <col min="1" max="1" width="2.7109375" customWidth="1"/>
    <col min="2" max="2" width="9.140625" style="3" hidden="1" customWidth="1" outlineLevel="1"/>
    <col min="3" max="3" width="1.7109375" hidden="1" customWidth="1" outlineLevel="1"/>
    <col min="4" max="5" width="9.140625" style="13" hidden="1" customWidth="1" outlineLevel="1"/>
    <col min="6" max="6" width="2.7109375" hidden="1" customWidth="1" outlineLevel="1"/>
    <col min="7" max="7" width="9.140625" hidden="1" customWidth="1" outlineLevel="1"/>
    <col min="8" max="8" width="9.140625" style="13" hidden="1" customWidth="1" outlineLevel="1"/>
    <col min="9" max="9" width="2.7109375" hidden="1" customWidth="1" outlineLevel="1"/>
    <col min="10" max="10" width="9.140625" style="13" hidden="1" customWidth="1" outlineLevel="1"/>
    <col min="11" max="12" width="2.7109375" style="9" hidden="1" customWidth="1" outlineLevel="1"/>
    <col min="13" max="13" width="9.28515625" style="9" hidden="1" customWidth="1" outlineLevel="1"/>
    <col min="14" max="14" width="2.7109375" style="9" hidden="1" customWidth="1" outlineLevel="1"/>
    <col min="15" max="16" width="9.28515625" style="9" hidden="1" customWidth="1" outlineLevel="1"/>
    <col min="17" max="17" width="2.7109375" style="9" hidden="1" customWidth="1" outlineLevel="1"/>
    <col min="18" max="19" width="9.28515625" style="9" hidden="1" customWidth="1" outlineLevel="1"/>
    <col min="20" max="20" width="2.7109375" style="9" hidden="1" customWidth="1" outlineLevel="1"/>
    <col min="21" max="21" width="9.28515625" style="9" hidden="1" customWidth="1" outlineLevel="1"/>
    <col min="22" max="22" width="2.7109375" style="9" hidden="1" customWidth="1" outlineLevel="1"/>
    <col min="23" max="23" width="16" style="9" customWidth="1" collapsed="1"/>
    <col min="24" max="24" width="16" style="7" customWidth="1"/>
    <col min="25" max="25" width="17.85546875" style="9" customWidth="1"/>
    <col min="26" max="26" width="17.85546875" style="7" customWidth="1"/>
    <col min="27" max="27" width="3.7109375" style="9" customWidth="1"/>
    <col min="28" max="29" width="14.85546875" style="9" customWidth="1"/>
    <col min="30" max="31" width="19.140625" style="9" customWidth="1"/>
    <col min="32" max="42" width="13.140625" style="9" customWidth="1"/>
    <col min="43" max="16384" width="9.140625" style="9"/>
  </cols>
  <sheetData>
    <row r="1" spans="2:31" ht="9.9499999999999993" customHeight="1" x14ac:dyDescent="0.25"/>
    <row r="2" spans="2:31" ht="21" x14ac:dyDescent="0.35">
      <c r="D2" s="9"/>
      <c r="E2" s="9"/>
      <c r="W2" s="1" t="s">
        <v>222</v>
      </c>
      <c r="X2" s="22"/>
      <c r="Y2" s="39"/>
      <c r="AB2" s="1"/>
    </row>
    <row r="3" spans="2:31" ht="18.75" x14ac:dyDescent="0.3">
      <c r="D3" s="3"/>
      <c r="E3" s="3"/>
      <c r="W3" s="444" t="s">
        <v>446</v>
      </c>
      <c r="X3" s="22"/>
      <c r="Y3" s="39"/>
      <c r="AB3" s="444"/>
    </row>
    <row r="4" spans="2:31" customFormat="1" thickBot="1" x14ac:dyDescent="0.3">
      <c r="D4" s="13"/>
      <c r="E4" s="13"/>
      <c r="H4" s="13"/>
      <c r="J4" s="13"/>
      <c r="W4" s="17"/>
      <c r="X4" s="15"/>
      <c r="Y4" s="49"/>
      <c r="Z4" s="11"/>
    </row>
    <row r="5" spans="2:31" customFormat="1" ht="15" x14ac:dyDescent="0.25">
      <c r="B5" s="3"/>
      <c r="D5" s="13"/>
      <c r="E5" s="13"/>
      <c r="H5" s="13"/>
      <c r="J5" s="13"/>
      <c r="W5" s="1164" t="s">
        <v>3</v>
      </c>
      <c r="X5" s="1165" t="s">
        <v>223</v>
      </c>
      <c r="Y5" s="1166" t="s">
        <v>568</v>
      </c>
      <c r="Z5" s="11"/>
    </row>
    <row r="6" spans="2:31" customFormat="1" ht="15" x14ac:dyDescent="0.25">
      <c r="D6" s="574" t="s">
        <v>859</v>
      </c>
      <c r="E6" s="574" t="s">
        <v>860</v>
      </c>
      <c r="G6" s="18">
        <v>1</v>
      </c>
      <c r="H6" s="18">
        <v>5</v>
      </c>
      <c r="J6" s="13"/>
      <c r="W6" s="842" t="str">
        <f>_xlfn.CONCAT(G6,"W - ",H6,"W")</f>
        <v>1W - 5W</v>
      </c>
      <c r="X6" s="229" t="s">
        <v>224</v>
      </c>
      <c r="Y6" s="843">
        <v>5</v>
      </c>
      <c r="Z6" s="11"/>
    </row>
    <row r="7" spans="2:31" customFormat="1" thickBot="1" x14ac:dyDescent="0.3">
      <c r="D7" s="2">
        <v>270</v>
      </c>
      <c r="E7" s="2" t="s">
        <v>222</v>
      </c>
      <c r="G7" s="18">
        <v>6</v>
      </c>
      <c r="H7" s="18">
        <v>8</v>
      </c>
      <c r="J7" s="13"/>
      <c r="W7" s="844" t="str">
        <f>_xlfn.CONCAT(G7,"W - ",H7,"W")</f>
        <v>6W - 8W</v>
      </c>
      <c r="X7" s="247" t="s">
        <v>225</v>
      </c>
      <c r="Y7" s="845">
        <v>6</v>
      </c>
      <c r="Z7" s="11"/>
    </row>
    <row r="8" spans="2:31" s="72" customFormat="1" thickBot="1" x14ac:dyDescent="0.3">
      <c r="B8" s="382"/>
      <c r="D8" s="659"/>
      <c r="E8" s="659"/>
      <c r="H8" s="400"/>
      <c r="J8" s="400"/>
      <c r="X8" s="249"/>
      <c r="Z8" s="249"/>
    </row>
    <row r="9" spans="2:31" s="72" customFormat="1" ht="15" x14ac:dyDescent="0.25">
      <c r="B9" s="400" t="s">
        <v>226</v>
      </c>
      <c r="C9" s="400"/>
      <c r="D9" s="400"/>
      <c r="E9" s="400"/>
      <c r="H9" s="400"/>
      <c r="J9" s="400"/>
      <c r="W9" s="592" t="s">
        <v>955</v>
      </c>
      <c r="X9" s="592"/>
      <c r="Y9" s="592"/>
      <c r="Z9" s="593"/>
      <c r="AB9" s="592" t="s">
        <v>956</v>
      </c>
      <c r="AC9" s="592"/>
      <c r="AD9" s="592"/>
      <c r="AE9" s="593"/>
    </row>
    <row r="10" spans="2:31" s="72" customFormat="1" ht="17.25" x14ac:dyDescent="0.25">
      <c r="B10" s="382"/>
      <c r="W10" s="1328" t="s">
        <v>9</v>
      </c>
      <c r="X10" s="1330" t="s">
        <v>227</v>
      </c>
      <c r="Y10" s="660" t="s">
        <v>3</v>
      </c>
      <c r="Z10" s="684"/>
      <c r="AB10" s="1328" t="s">
        <v>9</v>
      </c>
      <c r="AC10" s="1330" t="s">
        <v>227</v>
      </c>
      <c r="AD10" s="660" t="s">
        <v>3</v>
      </c>
      <c r="AE10" s="684"/>
    </row>
    <row r="11" spans="2:31" s="72" customFormat="1" ht="15" x14ac:dyDescent="0.25">
      <c r="B11" s="382"/>
      <c r="D11" s="400"/>
      <c r="E11" s="400"/>
      <c r="H11" s="400"/>
      <c r="J11" s="400"/>
      <c r="W11" s="1329"/>
      <c r="X11" s="1331"/>
      <c r="Y11" s="433" t="s">
        <v>4</v>
      </c>
      <c r="Z11" s="685" t="s">
        <v>5</v>
      </c>
      <c r="AB11" s="1329"/>
      <c r="AC11" s="1331"/>
      <c r="AD11" s="846" t="s">
        <v>4</v>
      </c>
      <c r="AE11" s="847" t="s">
        <v>5</v>
      </c>
    </row>
    <row r="12" spans="2:31" s="72" customFormat="1" ht="15" x14ac:dyDescent="0.25">
      <c r="B12" s="659">
        <v>1</v>
      </c>
      <c r="D12" s="661">
        <v>5.0000000000000001E-3</v>
      </c>
      <c r="E12" s="661">
        <v>0.01</v>
      </c>
      <c r="F12" s="659"/>
      <c r="G12" s="662">
        <v>0.13</v>
      </c>
      <c r="H12" s="662">
        <v>0.25</v>
      </c>
      <c r="J12" s="663" t="s">
        <v>228</v>
      </c>
      <c r="K12" s="664"/>
      <c r="L12" s="664"/>
      <c r="M12" s="382">
        <v>5</v>
      </c>
      <c r="O12" s="665">
        <v>0.40600000000000003</v>
      </c>
      <c r="P12" s="665">
        <v>0.42</v>
      </c>
      <c r="Q12" s="400"/>
      <c r="R12" s="663">
        <v>10.31</v>
      </c>
      <c r="S12" s="663">
        <v>10.67</v>
      </c>
      <c r="U12" s="663" t="s">
        <v>334</v>
      </c>
      <c r="V12" s="664"/>
      <c r="W12" s="1058" t="s">
        <v>228</v>
      </c>
      <c r="X12" s="666" t="s">
        <v>229</v>
      </c>
      <c r="Y12" s="666" t="str">
        <f t="shared" ref="Y12:Y64" si="0">_xlfn.CONCAT(TEXT($D12,"#.000"),""""," - ",TEXT($E12,"#.000"),"""")</f>
        <v>.005" - .010"</v>
      </c>
      <c r="Z12" s="686" t="str">
        <f>_xlfn.CONCAT(TEXT($G12,"0.00")," - ",TEXT($H12,"0.00"),"mm")</f>
        <v>0.13 - 0.25mm</v>
      </c>
      <c r="AB12" s="1065" t="s">
        <v>334</v>
      </c>
      <c r="AC12" s="637" t="s">
        <v>335</v>
      </c>
      <c r="AD12" s="637" t="str">
        <f t="shared" ref="AD12:AD18" si="1">_xlfn.CONCAT(TEXT($O12,"#.000"),""""," - ",TEXT($P12,"#.000"),"""")</f>
        <v>.406" - .420"</v>
      </c>
      <c r="AE12" s="693" t="str">
        <f t="shared" ref="AE12:AE18" si="2">_xlfn.CONCAT(TEXT($R12,"0.00")," - ",TEXT($S12,"0.00"),"mm")</f>
        <v>10.31 - 10.67mm</v>
      </c>
    </row>
    <row r="13" spans="2:31" s="72" customFormat="1" ht="15" x14ac:dyDescent="0.25">
      <c r="B13" s="659">
        <v>1</v>
      </c>
      <c r="D13" s="668">
        <v>0.01</v>
      </c>
      <c r="E13" s="668">
        <v>1.4999999999999999E-2</v>
      </c>
      <c r="F13" s="659"/>
      <c r="G13" s="669">
        <v>0.25</v>
      </c>
      <c r="H13" s="669">
        <v>0.38</v>
      </c>
      <c r="J13" s="670" t="s">
        <v>230</v>
      </c>
      <c r="K13" s="664"/>
      <c r="L13" s="664"/>
      <c r="M13" s="382">
        <v>5</v>
      </c>
      <c r="O13" s="665">
        <v>0.42</v>
      </c>
      <c r="P13" s="665">
        <v>0.435</v>
      </c>
      <c r="Q13" s="400"/>
      <c r="R13" s="663">
        <v>10.67</v>
      </c>
      <c r="S13" s="663">
        <v>11.05</v>
      </c>
      <c r="U13" s="663" t="s">
        <v>336</v>
      </c>
      <c r="V13" s="664"/>
      <c r="W13" s="1059" t="s">
        <v>230</v>
      </c>
      <c r="X13" s="671" t="s">
        <v>231</v>
      </c>
      <c r="Y13" s="671" t="str">
        <f t="shared" si="0"/>
        <v>.010" - .015"</v>
      </c>
      <c r="Z13" s="687" t="str">
        <f t="shared" ref="Z13:Z64" si="3">_xlfn.CONCAT(TEXT($G13,"0.00")," - ",TEXT($H13,"0.00"),"mm")</f>
        <v>0.25 - 0.38mm</v>
      </c>
      <c r="AB13" s="1060" t="s">
        <v>336</v>
      </c>
      <c r="AC13" s="634" t="s">
        <v>337</v>
      </c>
      <c r="AD13" s="634" t="str">
        <f t="shared" si="1"/>
        <v>.420" - .435"</v>
      </c>
      <c r="AE13" s="688" t="str">
        <f t="shared" si="2"/>
        <v>10.67 - 11.05mm</v>
      </c>
    </row>
    <row r="14" spans="2:31" s="72" customFormat="1" ht="15" x14ac:dyDescent="0.25">
      <c r="B14" s="672">
        <v>1</v>
      </c>
      <c r="D14" s="661">
        <v>1.4999999999999999E-2</v>
      </c>
      <c r="E14" s="661">
        <v>0.02</v>
      </c>
      <c r="F14" s="659"/>
      <c r="G14" s="662">
        <v>0.38</v>
      </c>
      <c r="H14" s="662">
        <v>0.51</v>
      </c>
      <c r="J14" s="663" t="s">
        <v>232</v>
      </c>
      <c r="K14" s="664"/>
      <c r="L14" s="664"/>
      <c r="M14" s="382">
        <v>5</v>
      </c>
      <c r="O14" s="665">
        <v>0.435</v>
      </c>
      <c r="P14" s="665">
        <v>0.45</v>
      </c>
      <c r="Q14" s="400"/>
      <c r="R14" s="663">
        <v>11.05</v>
      </c>
      <c r="S14" s="663">
        <v>11.43</v>
      </c>
      <c r="U14" s="663" t="s">
        <v>338</v>
      </c>
      <c r="V14" s="664"/>
      <c r="W14" s="1060" t="s">
        <v>232</v>
      </c>
      <c r="X14" s="634" t="s">
        <v>233</v>
      </c>
      <c r="Y14" s="634" t="str">
        <f t="shared" si="0"/>
        <v>.015" - .020"</v>
      </c>
      <c r="Z14" s="688" t="str">
        <f t="shared" si="3"/>
        <v>0.38 - 0.51mm</v>
      </c>
      <c r="AB14" s="1059" t="s">
        <v>338</v>
      </c>
      <c r="AC14" s="671" t="s">
        <v>339</v>
      </c>
      <c r="AD14" s="671" t="str">
        <f t="shared" si="1"/>
        <v>.435" - .450"</v>
      </c>
      <c r="AE14" s="687" t="str">
        <f t="shared" si="2"/>
        <v>11.05 - 11.43mm</v>
      </c>
    </row>
    <row r="15" spans="2:31" s="72" customFormat="1" ht="15" x14ac:dyDescent="0.25">
      <c r="B15" s="659">
        <v>1</v>
      </c>
      <c r="D15" s="661">
        <v>0.02</v>
      </c>
      <c r="E15" s="661">
        <v>2.5000000000000001E-2</v>
      </c>
      <c r="F15" s="659"/>
      <c r="G15" s="662">
        <v>0.51</v>
      </c>
      <c r="H15" s="662">
        <v>0.64</v>
      </c>
      <c r="J15" s="663" t="s">
        <v>234</v>
      </c>
      <c r="K15" s="664"/>
      <c r="L15" s="664"/>
      <c r="M15" s="382">
        <v>5</v>
      </c>
      <c r="O15" s="665">
        <v>0.45</v>
      </c>
      <c r="P15" s="665">
        <v>0.46500000000000002</v>
      </c>
      <c r="Q15" s="400"/>
      <c r="R15" s="663">
        <v>11.43</v>
      </c>
      <c r="S15" s="663">
        <v>11.81</v>
      </c>
      <c r="U15" s="663" t="s">
        <v>340</v>
      </c>
      <c r="V15" s="664"/>
      <c r="W15" s="1059" t="s">
        <v>234</v>
      </c>
      <c r="X15" s="671" t="s">
        <v>235</v>
      </c>
      <c r="Y15" s="671" t="str">
        <f t="shared" si="0"/>
        <v>.020" - .025"</v>
      </c>
      <c r="Z15" s="687" t="str">
        <f t="shared" si="3"/>
        <v>0.51 - 0.64mm</v>
      </c>
      <c r="AB15" s="1060" t="s">
        <v>340</v>
      </c>
      <c r="AC15" s="634" t="s">
        <v>341</v>
      </c>
      <c r="AD15" s="634" t="str">
        <f t="shared" si="1"/>
        <v>.450" - .465"</v>
      </c>
      <c r="AE15" s="688" t="str">
        <f t="shared" si="2"/>
        <v>11.43 - 11.81mm</v>
      </c>
    </row>
    <row r="16" spans="2:31" s="72" customFormat="1" ht="15" x14ac:dyDescent="0.25">
      <c r="B16" s="659">
        <v>1</v>
      </c>
      <c r="D16" s="661">
        <v>2.5000000000000001E-2</v>
      </c>
      <c r="E16" s="661">
        <v>0.03</v>
      </c>
      <c r="F16" s="659"/>
      <c r="G16" s="662">
        <v>0.64</v>
      </c>
      <c r="H16" s="662">
        <v>0.76</v>
      </c>
      <c r="J16" s="663" t="s">
        <v>236</v>
      </c>
      <c r="K16" s="664"/>
      <c r="L16" s="664"/>
      <c r="M16" s="382">
        <v>5</v>
      </c>
      <c r="O16" s="665">
        <v>0.46500000000000002</v>
      </c>
      <c r="P16" s="665">
        <v>0.48</v>
      </c>
      <c r="Q16" s="400"/>
      <c r="R16" s="663">
        <v>11.81</v>
      </c>
      <c r="S16" s="663">
        <v>12.19</v>
      </c>
      <c r="U16" s="663" t="s">
        <v>342</v>
      </c>
      <c r="V16" s="664"/>
      <c r="W16" s="1060" t="s">
        <v>236</v>
      </c>
      <c r="X16" s="634" t="s">
        <v>237</v>
      </c>
      <c r="Y16" s="634" t="str">
        <f t="shared" si="0"/>
        <v>.025" - .030"</v>
      </c>
      <c r="Z16" s="688" t="str">
        <f t="shared" si="3"/>
        <v>0.64 - 0.76mm</v>
      </c>
      <c r="AB16" s="1059" t="s">
        <v>342</v>
      </c>
      <c r="AC16" s="671" t="s">
        <v>343</v>
      </c>
      <c r="AD16" s="671" t="str">
        <f t="shared" si="1"/>
        <v>.465" - .480"</v>
      </c>
      <c r="AE16" s="687" t="str">
        <f t="shared" si="2"/>
        <v>11.81 - 12.19mm</v>
      </c>
    </row>
    <row r="17" spans="2:31" s="72" customFormat="1" ht="15" x14ac:dyDescent="0.25">
      <c r="B17" s="659">
        <v>1</v>
      </c>
      <c r="D17" s="661">
        <v>0.03</v>
      </c>
      <c r="E17" s="661">
        <v>3.5000000000000003E-2</v>
      </c>
      <c r="F17" s="659"/>
      <c r="G17" s="662">
        <v>0.76</v>
      </c>
      <c r="H17" s="662">
        <v>0.89</v>
      </c>
      <c r="J17" s="663" t="s">
        <v>238</v>
      </c>
      <c r="K17" s="664"/>
      <c r="L17" s="664"/>
      <c r="M17" s="382">
        <v>5</v>
      </c>
      <c r="O17" s="665">
        <v>0.48</v>
      </c>
      <c r="P17" s="665">
        <v>0.495</v>
      </c>
      <c r="Q17" s="400"/>
      <c r="R17" s="663">
        <v>12.19</v>
      </c>
      <c r="S17" s="663">
        <v>12.57</v>
      </c>
      <c r="U17" s="674" t="s">
        <v>344</v>
      </c>
      <c r="V17" s="664"/>
      <c r="W17" s="1059" t="s">
        <v>238</v>
      </c>
      <c r="X17" s="671" t="s">
        <v>239</v>
      </c>
      <c r="Y17" s="671" t="str">
        <f t="shared" si="0"/>
        <v>.030" - .035"</v>
      </c>
      <c r="Z17" s="687" t="str">
        <f t="shared" si="3"/>
        <v>0.76 - 0.89mm</v>
      </c>
      <c r="AB17" s="1060" t="s">
        <v>344</v>
      </c>
      <c r="AC17" s="634" t="s">
        <v>345</v>
      </c>
      <c r="AD17" s="634" t="str">
        <f t="shared" si="1"/>
        <v>.480" - .495"</v>
      </c>
      <c r="AE17" s="688" t="str">
        <f t="shared" si="2"/>
        <v>12.19 - 12.57mm</v>
      </c>
    </row>
    <row r="18" spans="2:31" s="72" customFormat="1" thickBot="1" x14ac:dyDescent="0.3">
      <c r="B18" s="659">
        <v>1</v>
      </c>
      <c r="D18" s="661">
        <v>3.5000000000000003E-2</v>
      </c>
      <c r="E18" s="661">
        <v>0.04</v>
      </c>
      <c r="F18" s="659"/>
      <c r="G18" s="662">
        <v>0.89</v>
      </c>
      <c r="H18" s="662">
        <v>1.02</v>
      </c>
      <c r="J18" s="663" t="s">
        <v>240</v>
      </c>
      <c r="K18" s="664"/>
      <c r="L18" s="664"/>
      <c r="M18" s="382">
        <v>5</v>
      </c>
      <c r="O18" s="665">
        <v>0.495</v>
      </c>
      <c r="P18" s="665">
        <v>0.51</v>
      </c>
      <c r="Q18" s="400"/>
      <c r="R18" s="663">
        <v>12.57</v>
      </c>
      <c r="S18" s="663">
        <v>12.95</v>
      </c>
      <c r="U18" s="670" t="s">
        <v>346</v>
      </c>
      <c r="V18" s="664"/>
      <c r="W18" s="1060" t="s">
        <v>240</v>
      </c>
      <c r="X18" s="634" t="s">
        <v>241</v>
      </c>
      <c r="Y18" s="634" t="str">
        <f t="shared" si="0"/>
        <v>.035" - .040"</v>
      </c>
      <c r="Z18" s="688" t="str">
        <f t="shared" si="3"/>
        <v>0.89 - 1.02mm</v>
      </c>
      <c r="AB18" s="1061" t="s">
        <v>346</v>
      </c>
      <c r="AC18" s="677" t="s">
        <v>347</v>
      </c>
      <c r="AD18" s="677" t="str">
        <f t="shared" si="1"/>
        <v>.495" - .510"</v>
      </c>
      <c r="AE18" s="689" t="str">
        <f t="shared" si="2"/>
        <v>12.57 - 12.95mm</v>
      </c>
    </row>
    <row r="19" spans="2:31" s="72" customFormat="1" ht="15" x14ac:dyDescent="0.25">
      <c r="B19" s="659">
        <v>1</v>
      </c>
      <c r="D19" s="661">
        <v>0.04</v>
      </c>
      <c r="E19" s="661">
        <v>4.4999999999999998E-2</v>
      </c>
      <c r="F19" s="659"/>
      <c r="G19" s="662">
        <v>1.02</v>
      </c>
      <c r="H19" s="662">
        <v>1.1399999999999999</v>
      </c>
      <c r="J19" s="663" t="s">
        <v>242</v>
      </c>
      <c r="K19" s="664"/>
      <c r="L19" s="664"/>
      <c r="M19" s="382">
        <f t="shared" ref="M19:M42" si="4">VALUE(LEFT(AC19,1))</f>
        <v>6</v>
      </c>
      <c r="O19" s="665">
        <v>0.51</v>
      </c>
      <c r="P19" s="665">
        <v>0.53200000000000003</v>
      </c>
      <c r="Q19" s="400"/>
      <c r="R19" s="663">
        <v>12.95</v>
      </c>
      <c r="S19" s="663">
        <v>13.51</v>
      </c>
      <c r="U19" s="663" t="s">
        <v>348</v>
      </c>
      <c r="V19" s="664"/>
      <c r="W19" s="1059" t="s">
        <v>242</v>
      </c>
      <c r="X19" s="671" t="s">
        <v>243</v>
      </c>
      <c r="Y19" s="671" t="str">
        <f t="shared" si="0"/>
        <v>.040" - .045"</v>
      </c>
      <c r="Z19" s="687" t="str">
        <f t="shared" si="3"/>
        <v>1.02 - 1.14mm</v>
      </c>
      <c r="AB19" s="1058" t="s">
        <v>348</v>
      </c>
      <c r="AC19" s="666" t="s">
        <v>349</v>
      </c>
      <c r="AD19" s="666" t="str">
        <f t="shared" ref="AD19:AD42" si="5">_xlfn.CONCAT(TEXT($O19,"#.000"),""""," - ",TEXT($P19,"#.000"),"""")</f>
        <v>.510" - .532"</v>
      </c>
      <c r="AE19" s="686" t="str">
        <f t="shared" ref="AE19:AE42" si="6">_xlfn.CONCAT(TEXT($R19,"0.00")," - ",TEXT($S19,"0.00"),"mm")</f>
        <v>12.95 - 13.51mm</v>
      </c>
    </row>
    <row r="20" spans="2:31" s="72" customFormat="1" ht="15" x14ac:dyDescent="0.25">
      <c r="B20" s="659">
        <v>1</v>
      </c>
      <c r="D20" s="661">
        <v>4.4999999999999998E-2</v>
      </c>
      <c r="E20" s="661">
        <v>0.05</v>
      </c>
      <c r="F20" s="659"/>
      <c r="G20" s="662">
        <v>1.1399999999999999</v>
      </c>
      <c r="H20" s="662">
        <v>1.27</v>
      </c>
      <c r="J20" s="663" t="s">
        <v>244</v>
      </c>
      <c r="K20" s="664"/>
      <c r="L20" s="664"/>
      <c r="M20" s="382">
        <f t="shared" si="4"/>
        <v>6</v>
      </c>
      <c r="O20" s="665">
        <v>0.53200000000000003</v>
      </c>
      <c r="P20" s="665">
        <v>0.54700000000000004</v>
      </c>
      <c r="Q20" s="400"/>
      <c r="R20" s="663">
        <v>13.51</v>
      </c>
      <c r="S20" s="663">
        <v>13.89</v>
      </c>
      <c r="U20" s="663" t="s">
        <v>350</v>
      </c>
      <c r="V20" s="664"/>
      <c r="W20" s="1060" t="s">
        <v>244</v>
      </c>
      <c r="X20" s="634" t="s">
        <v>245</v>
      </c>
      <c r="Y20" s="634" t="str">
        <f t="shared" si="0"/>
        <v>.045" - .050"</v>
      </c>
      <c r="Z20" s="688" t="str">
        <f t="shared" si="3"/>
        <v>1.14 - 1.27mm</v>
      </c>
      <c r="AB20" s="1059" t="s">
        <v>350</v>
      </c>
      <c r="AC20" s="671" t="s">
        <v>351</v>
      </c>
      <c r="AD20" s="671" t="str">
        <f t="shared" si="5"/>
        <v>.532" - .547"</v>
      </c>
      <c r="AE20" s="687" t="str">
        <f t="shared" si="6"/>
        <v>13.51 - 13.89mm</v>
      </c>
    </row>
    <row r="21" spans="2:31" s="72" customFormat="1" ht="15" x14ac:dyDescent="0.25">
      <c r="B21" s="659">
        <v>1</v>
      </c>
      <c r="D21" s="661">
        <v>0.05</v>
      </c>
      <c r="E21" s="661">
        <v>5.5E-2</v>
      </c>
      <c r="F21" s="659"/>
      <c r="G21" s="662">
        <v>1.27</v>
      </c>
      <c r="H21" s="662">
        <v>1.4</v>
      </c>
      <c r="J21" s="663" t="s">
        <v>246</v>
      </c>
      <c r="K21" s="664"/>
      <c r="L21" s="664"/>
      <c r="M21" s="382">
        <f t="shared" si="4"/>
        <v>6</v>
      </c>
      <c r="O21" s="665">
        <v>0.54700000000000004</v>
      </c>
      <c r="P21" s="665">
        <v>0.56299999999999994</v>
      </c>
      <c r="Q21" s="400"/>
      <c r="R21" s="663">
        <v>13.89</v>
      </c>
      <c r="S21" s="663">
        <v>14.3</v>
      </c>
      <c r="U21" s="663" t="s">
        <v>352</v>
      </c>
      <c r="V21" s="664"/>
      <c r="W21" s="1059" t="s">
        <v>246</v>
      </c>
      <c r="X21" s="671" t="s">
        <v>247</v>
      </c>
      <c r="Y21" s="671" t="str">
        <f t="shared" si="0"/>
        <v>.050" - .055"</v>
      </c>
      <c r="Z21" s="687" t="str">
        <f t="shared" si="3"/>
        <v>1.27 - 1.40mm</v>
      </c>
      <c r="AB21" s="1060" t="s">
        <v>352</v>
      </c>
      <c r="AC21" s="634" t="s">
        <v>353</v>
      </c>
      <c r="AD21" s="634" t="str">
        <f t="shared" si="5"/>
        <v>.547" - .563"</v>
      </c>
      <c r="AE21" s="688" t="str">
        <f t="shared" si="6"/>
        <v>13.89 - 14.30mm</v>
      </c>
    </row>
    <row r="22" spans="2:31" s="72" customFormat="1" ht="15" x14ac:dyDescent="0.25">
      <c r="B22" s="659">
        <v>1</v>
      </c>
      <c r="D22" s="661">
        <v>5.5E-2</v>
      </c>
      <c r="E22" s="661">
        <v>0.06</v>
      </c>
      <c r="F22" s="659"/>
      <c r="G22" s="662">
        <v>1.4</v>
      </c>
      <c r="H22" s="662">
        <v>1.52</v>
      </c>
      <c r="J22" s="663" t="s">
        <v>248</v>
      </c>
      <c r="K22" s="664"/>
      <c r="L22" s="664"/>
      <c r="M22" s="382">
        <f t="shared" si="4"/>
        <v>6</v>
      </c>
      <c r="O22" s="665">
        <v>0.56299999999999994</v>
      </c>
      <c r="P22" s="665">
        <v>0.57899999999999996</v>
      </c>
      <c r="Q22" s="400"/>
      <c r="R22" s="663">
        <v>14.3</v>
      </c>
      <c r="S22" s="663">
        <v>14.71</v>
      </c>
      <c r="U22" s="663" t="s">
        <v>354</v>
      </c>
      <c r="V22" s="664"/>
      <c r="W22" s="1060" t="s">
        <v>248</v>
      </c>
      <c r="X22" s="634" t="s">
        <v>249</v>
      </c>
      <c r="Y22" s="634" t="str">
        <f t="shared" si="0"/>
        <v>.055" - .060"</v>
      </c>
      <c r="Z22" s="688" t="str">
        <f t="shared" si="3"/>
        <v>1.40 - 1.52mm</v>
      </c>
      <c r="AB22" s="1059" t="s">
        <v>354</v>
      </c>
      <c r="AC22" s="671" t="s">
        <v>355</v>
      </c>
      <c r="AD22" s="671" t="str">
        <f t="shared" si="5"/>
        <v>.563" - .579"</v>
      </c>
      <c r="AE22" s="687" t="str">
        <f t="shared" si="6"/>
        <v>14.30 - 14.71mm</v>
      </c>
    </row>
    <row r="23" spans="2:31" s="72" customFormat="1" ht="15" x14ac:dyDescent="0.25">
      <c r="B23" s="659">
        <v>1</v>
      </c>
      <c r="D23" s="661">
        <v>0.06</v>
      </c>
      <c r="E23" s="661">
        <v>6.5000000000000002E-2</v>
      </c>
      <c r="F23" s="659"/>
      <c r="G23" s="662">
        <v>1.52</v>
      </c>
      <c r="H23" s="662">
        <v>1.65</v>
      </c>
      <c r="J23" s="663" t="s">
        <v>250</v>
      </c>
      <c r="K23" s="664"/>
      <c r="L23" s="664"/>
      <c r="M23" s="382">
        <f t="shared" si="4"/>
        <v>6</v>
      </c>
      <c r="O23" s="665">
        <v>0.57899999999999996</v>
      </c>
      <c r="P23" s="665">
        <v>0.59399999999999997</v>
      </c>
      <c r="Q23" s="400"/>
      <c r="R23" s="663">
        <v>14.71</v>
      </c>
      <c r="S23" s="663">
        <v>15.09</v>
      </c>
      <c r="U23" s="663" t="s">
        <v>356</v>
      </c>
      <c r="V23" s="664"/>
      <c r="W23" s="1059" t="s">
        <v>250</v>
      </c>
      <c r="X23" s="671" t="s">
        <v>251</v>
      </c>
      <c r="Y23" s="671" t="str">
        <f t="shared" si="0"/>
        <v>.060" - .065"</v>
      </c>
      <c r="Z23" s="687" t="str">
        <f t="shared" si="3"/>
        <v>1.52 - 1.65mm</v>
      </c>
      <c r="AB23" s="1060" t="s">
        <v>356</v>
      </c>
      <c r="AC23" s="634" t="s">
        <v>357</v>
      </c>
      <c r="AD23" s="634" t="str">
        <f t="shared" si="5"/>
        <v>.579" - .594"</v>
      </c>
      <c r="AE23" s="688" t="str">
        <f t="shared" si="6"/>
        <v>14.71 - 15.09mm</v>
      </c>
    </row>
    <row r="24" spans="2:31" s="72" customFormat="1" ht="15" x14ac:dyDescent="0.25">
      <c r="B24" s="659">
        <v>1</v>
      </c>
      <c r="D24" s="661">
        <v>6.5000000000000002E-2</v>
      </c>
      <c r="E24" s="661">
        <v>7.0000000000000007E-2</v>
      </c>
      <c r="F24" s="659"/>
      <c r="G24" s="662">
        <v>1.65</v>
      </c>
      <c r="H24" s="662">
        <v>1.78</v>
      </c>
      <c r="J24" s="663" t="s">
        <v>252</v>
      </c>
      <c r="K24" s="664"/>
      <c r="L24" s="664"/>
      <c r="M24" s="382">
        <f t="shared" si="4"/>
        <v>6</v>
      </c>
      <c r="O24" s="665">
        <v>0.59399999999999997</v>
      </c>
      <c r="P24" s="665">
        <v>0.61</v>
      </c>
      <c r="Q24" s="400"/>
      <c r="R24" s="663">
        <v>15.09</v>
      </c>
      <c r="S24" s="663">
        <v>15.49</v>
      </c>
      <c r="U24" s="663" t="s">
        <v>358</v>
      </c>
      <c r="V24" s="664"/>
      <c r="W24" s="1060" t="s">
        <v>252</v>
      </c>
      <c r="X24" s="634" t="s">
        <v>253</v>
      </c>
      <c r="Y24" s="634" t="str">
        <f t="shared" si="0"/>
        <v>.065" - .070"</v>
      </c>
      <c r="Z24" s="688" t="str">
        <f t="shared" si="3"/>
        <v>1.65 - 1.78mm</v>
      </c>
      <c r="AB24" s="1059" t="s">
        <v>358</v>
      </c>
      <c r="AC24" s="671" t="s">
        <v>359</v>
      </c>
      <c r="AD24" s="671" t="str">
        <f t="shared" si="5"/>
        <v>.594" - .610"</v>
      </c>
      <c r="AE24" s="687" t="str">
        <f t="shared" si="6"/>
        <v>15.09 - 15.49mm</v>
      </c>
    </row>
    <row r="25" spans="2:31" s="72" customFormat="1" thickBot="1" x14ac:dyDescent="0.3">
      <c r="B25" s="676">
        <v>1</v>
      </c>
      <c r="D25" s="668">
        <v>7.0000000000000007E-2</v>
      </c>
      <c r="E25" s="668">
        <v>7.4999999999999997E-2</v>
      </c>
      <c r="F25" s="659"/>
      <c r="G25" s="669">
        <v>1.78</v>
      </c>
      <c r="H25" s="669">
        <v>1.91</v>
      </c>
      <c r="J25" s="670" t="s">
        <v>254</v>
      </c>
      <c r="K25" s="664"/>
      <c r="L25" s="664"/>
      <c r="M25" s="382">
        <f t="shared" si="4"/>
        <v>6</v>
      </c>
      <c r="O25" s="665">
        <v>0.61</v>
      </c>
      <c r="P25" s="665">
        <v>0.625</v>
      </c>
      <c r="Q25" s="400"/>
      <c r="R25" s="663">
        <v>15.49</v>
      </c>
      <c r="S25" s="663">
        <v>15.88</v>
      </c>
      <c r="U25" s="674" t="s">
        <v>360</v>
      </c>
      <c r="V25" s="664"/>
      <c r="W25" s="1061" t="s">
        <v>254</v>
      </c>
      <c r="X25" s="677" t="s">
        <v>255</v>
      </c>
      <c r="Y25" s="677" t="str">
        <f t="shared" si="0"/>
        <v>.070" - .075"</v>
      </c>
      <c r="Z25" s="689" t="str">
        <f t="shared" si="3"/>
        <v>1.78 - 1.91mm</v>
      </c>
      <c r="AB25" s="1060" t="s">
        <v>360</v>
      </c>
      <c r="AC25" s="634" t="s">
        <v>361</v>
      </c>
      <c r="AD25" s="634" t="str">
        <f t="shared" si="5"/>
        <v>.610" - .625"</v>
      </c>
      <c r="AE25" s="688" t="str">
        <f t="shared" si="6"/>
        <v>15.49 - 15.88mm</v>
      </c>
    </row>
    <row r="26" spans="2:31" s="72" customFormat="1" thickBot="1" x14ac:dyDescent="0.3">
      <c r="B26" s="659">
        <v>2</v>
      </c>
      <c r="D26" s="661">
        <v>7.4999999999999997E-2</v>
      </c>
      <c r="E26" s="661">
        <v>8.2000000000000003E-2</v>
      </c>
      <c r="F26" s="659"/>
      <c r="G26" s="662">
        <v>1.91</v>
      </c>
      <c r="H26" s="662">
        <v>2.08</v>
      </c>
      <c r="J26" s="663" t="s">
        <v>256</v>
      </c>
      <c r="K26" s="664"/>
      <c r="L26" s="664"/>
      <c r="M26" s="362">
        <f t="shared" si="4"/>
        <v>6</v>
      </c>
      <c r="O26" s="675">
        <v>0.625</v>
      </c>
      <c r="P26" s="675">
        <v>0.63500000000000001</v>
      </c>
      <c r="Q26" s="400"/>
      <c r="R26" s="670">
        <v>15.88</v>
      </c>
      <c r="S26" s="670">
        <v>16.13</v>
      </c>
      <c r="U26" s="670" t="s">
        <v>362</v>
      </c>
      <c r="V26" s="664"/>
      <c r="W26" s="1062" t="s">
        <v>256</v>
      </c>
      <c r="X26" s="667" t="s">
        <v>257</v>
      </c>
      <c r="Y26" s="667" t="str">
        <f t="shared" si="0"/>
        <v>.075" - .082"</v>
      </c>
      <c r="Z26" s="690" t="str">
        <f t="shared" si="3"/>
        <v>1.91 - 2.08mm</v>
      </c>
      <c r="AB26" s="1059" t="s">
        <v>362</v>
      </c>
      <c r="AC26" s="671" t="s">
        <v>363</v>
      </c>
      <c r="AD26" s="671" t="str">
        <f t="shared" si="5"/>
        <v>.625" - .635"</v>
      </c>
      <c r="AE26" s="687" t="str">
        <f t="shared" si="6"/>
        <v>15.88 - 16.13mm</v>
      </c>
    </row>
    <row r="27" spans="2:31" s="72" customFormat="1" ht="15" x14ac:dyDescent="0.25">
      <c r="B27" s="659">
        <v>2</v>
      </c>
      <c r="D27" s="661">
        <v>8.2000000000000003E-2</v>
      </c>
      <c r="E27" s="661">
        <v>8.8999999999999996E-2</v>
      </c>
      <c r="F27" s="659"/>
      <c r="G27" s="662">
        <v>2.08</v>
      </c>
      <c r="H27" s="662">
        <v>2.2599999999999998</v>
      </c>
      <c r="J27" s="663" t="s">
        <v>258</v>
      </c>
      <c r="K27" s="664"/>
      <c r="L27" s="664"/>
      <c r="M27" s="382">
        <f t="shared" si="4"/>
        <v>7</v>
      </c>
      <c r="O27" s="665">
        <v>0.63500000000000001</v>
      </c>
      <c r="P27" s="665">
        <v>0.65600000000000003</v>
      </c>
      <c r="Q27" s="400"/>
      <c r="R27" s="663">
        <v>16.13</v>
      </c>
      <c r="S27" s="663">
        <v>16.66</v>
      </c>
      <c r="U27" s="663" t="s">
        <v>364</v>
      </c>
      <c r="V27" s="664"/>
      <c r="W27" s="1059" t="s">
        <v>258</v>
      </c>
      <c r="X27" s="671" t="s">
        <v>259</v>
      </c>
      <c r="Y27" s="671" t="str">
        <f t="shared" si="0"/>
        <v>.082" - .089"</v>
      </c>
      <c r="Z27" s="687" t="str">
        <f t="shared" si="3"/>
        <v>2.08 - 2.26mm</v>
      </c>
      <c r="AB27" s="1062" t="s">
        <v>364</v>
      </c>
      <c r="AC27" s="667" t="s">
        <v>365</v>
      </c>
      <c r="AD27" s="667" t="str">
        <f t="shared" si="5"/>
        <v>.635" - .656"</v>
      </c>
      <c r="AE27" s="690" t="str">
        <f t="shared" si="6"/>
        <v>16.13 - 16.66mm</v>
      </c>
    </row>
    <row r="28" spans="2:31" s="72" customFormat="1" ht="15" x14ac:dyDescent="0.25">
      <c r="B28" s="659">
        <v>2</v>
      </c>
      <c r="D28" s="661">
        <v>8.8999999999999996E-2</v>
      </c>
      <c r="E28" s="661">
        <v>9.6000000000000002E-2</v>
      </c>
      <c r="F28" s="659"/>
      <c r="G28" s="662">
        <v>2.2599999999999998</v>
      </c>
      <c r="H28" s="662">
        <v>2.44</v>
      </c>
      <c r="J28" s="663" t="s">
        <v>260</v>
      </c>
      <c r="K28" s="664"/>
      <c r="L28" s="664"/>
      <c r="M28" s="382">
        <f t="shared" si="4"/>
        <v>7</v>
      </c>
      <c r="O28" s="665">
        <v>0.65600000000000003</v>
      </c>
      <c r="P28" s="665">
        <v>0.67200000000000004</v>
      </c>
      <c r="Q28" s="400"/>
      <c r="R28" s="663">
        <v>16.66</v>
      </c>
      <c r="S28" s="663">
        <v>17.07</v>
      </c>
      <c r="U28" s="663" t="s">
        <v>366</v>
      </c>
      <c r="V28" s="664"/>
      <c r="W28" s="1060" t="s">
        <v>260</v>
      </c>
      <c r="X28" s="634" t="s">
        <v>261</v>
      </c>
      <c r="Y28" s="634" t="str">
        <f t="shared" si="0"/>
        <v>.089" - .096"</v>
      </c>
      <c r="Z28" s="688" t="str">
        <f t="shared" si="3"/>
        <v>2.26 - 2.44mm</v>
      </c>
      <c r="AB28" s="1059" t="s">
        <v>366</v>
      </c>
      <c r="AC28" s="671" t="s">
        <v>367</v>
      </c>
      <c r="AD28" s="671" t="str">
        <f t="shared" si="5"/>
        <v>.656" - .672"</v>
      </c>
      <c r="AE28" s="687" t="str">
        <f t="shared" si="6"/>
        <v>16.66 - 17.07mm</v>
      </c>
    </row>
    <row r="29" spans="2:31" s="72" customFormat="1" ht="15" x14ac:dyDescent="0.25">
      <c r="B29" s="659">
        <v>2</v>
      </c>
      <c r="D29" s="661">
        <v>9.6000000000000002E-2</v>
      </c>
      <c r="E29" s="661">
        <v>0.10299999999999999</v>
      </c>
      <c r="F29" s="659"/>
      <c r="G29" s="662">
        <v>2.44</v>
      </c>
      <c r="H29" s="662">
        <v>2.62</v>
      </c>
      <c r="J29" s="663" t="s">
        <v>262</v>
      </c>
      <c r="K29" s="664"/>
      <c r="L29" s="664"/>
      <c r="M29" s="382">
        <f t="shared" si="4"/>
        <v>7</v>
      </c>
      <c r="O29" s="665">
        <v>0.67200000000000004</v>
      </c>
      <c r="P29" s="665">
        <v>0.68799999999999994</v>
      </c>
      <c r="Q29" s="400"/>
      <c r="R29" s="663">
        <v>17.07</v>
      </c>
      <c r="S29" s="663">
        <v>17.48</v>
      </c>
      <c r="U29" s="663" t="s">
        <v>368</v>
      </c>
      <c r="V29" s="664"/>
      <c r="W29" s="1059" t="s">
        <v>262</v>
      </c>
      <c r="X29" s="671" t="s">
        <v>263</v>
      </c>
      <c r="Y29" s="671" t="str">
        <f t="shared" si="0"/>
        <v>.096" - .103"</v>
      </c>
      <c r="Z29" s="687" t="str">
        <f t="shared" si="3"/>
        <v>2.44 - 2.62mm</v>
      </c>
      <c r="AB29" s="1060" t="s">
        <v>368</v>
      </c>
      <c r="AC29" s="634" t="s">
        <v>369</v>
      </c>
      <c r="AD29" s="634" t="str">
        <f t="shared" si="5"/>
        <v>.672" - .688"</v>
      </c>
      <c r="AE29" s="688" t="str">
        <f t="shared" si="6"/>
        <v>17.07 - 17.48mm</v>
      </c>
    </row>
    <row r="30" spans="2:31" s="72" customFormat="1" ht="15" x14ac:dyDescent="0.25">
      <c r="B30" s="659">
        <v>2</v>
      </c>
      <c r="D30" s="661">
        <v>0.10299999999999999</v>
      </c>
      <c r="E30" s="661">
        <v>0.11</v>
      </c>
      <c r="F30" s="659"/>
      <c r="G30" s="662">
        <v>2.62</v>
      </c>
      <c r="H30" s="662">
        <v>2.79</v>
      </c>
      <c r="J30" s="663" t="s">
        <v>264</v>
      </c>
      <c r="K30" s="664"/>
      <c r="L30" s="664"/>
      <c r="M30" s="382">
        <f t="shared" si="4"/>
        <v>7</v>
      </c>
      <c r="O30" s="665">
        <v>0.68799999999999994</v>
      </c>
      <c r="P30" s="665">
        <v>0.70399999999999996</v>
      </c>
      <c r="Q30" s="400"/>
      <c r="R30" s="663">
        <v>17.48</v>
      </c>
      <c r="S30" s="663">
        <v>17.88</v>
      </c>
      <c r="U30" s="663" t="s">
        <v>370</v>
      </c>
      <c r="V30" s="664"/>
      <c r="W30" s="1060" t="s">
        <v>264</v>
      </c>
      <c r="X30" s="634" t="s">
        <v>265</v>
      </c>
      <c r="Y30" s="634" t="str">
        <f t="shared" si="0"/>
        <v>.103" - .110"</v>
      </c>
      <c r="Z30" s="688" t="str">
        <f t="shared" si="3"/>
        <v>2.62 - 2.79mm</v>
      </c>
      <c r="AB30" s="1059" t="s">
        <v>370</v>
      </c>
      <c r="AC30" s="671" t="s">
        <v>371</v>
      </c>
      <c r="AD30" s="671" t="str">
        <f t="shared" si="5"/>
        <v>.688" - .704"</v>
      </c>
      <c r="AE30" s="687" t="str">
        <f t="shared" si="6"/>
        <v>17.48 - 17.88mm</v>
      </c>
    </row>
    <row r="31" spans="2:31" s="72" customFormat="1" ht="15" x14ac:dyDescent="0.25">
      <c r="B31" s="659">
        <v>2</v>
      </c>
      <c r="D31" s="661">
        <v>0.11</v>
      </c>
      <c r="E31" s="661">
        <v>0.11700000000000001</v>
      </c>
      <c r="F31" s="659"/>
      <c r="G31" s="662">
        <v>2.79</v>
      </c>
      <c r="H31" s="662">
        <v>2.97</v>
      </c>
      <c r="J31" s="663" t="s">
        <v>266</v>
      </c>
      <c r="K31" s="664"/>
      <c r="L31" s="664"/>
      <c r="M31" s="382">
        <f t="shared" si="4"/>
        <v>7</v>
      </c>
      <c r="O31" s="665">
        <v>0.70399999999999996</v>
      </c>
      <c r="P31" s="665">
        <v>0.71899999999999997</v>
      </c>
      <c r="Q31" s="400"/>
      <c r="R31" s="663">
        <v>17.88</v>
      </c>
      <c r="S31" s="663">
        <v>18.260000000000002</v>
      </c>
      <c r="U31" s="663" t="s">
        <v>372</v>
      </c>
      <c r="V31" s="664"/>
      <c r="W31" s="1059" t="s">
        <v>266</v>
      </c>
      <c r="X31" s="671" t="s">
        <v>267</v>
      </c>
      <c r="Y31" s="671" t="str">
        <f t="shared" si="0"/>
        <v>.110" - .117"</v>
      </c>
      <c r="Z31" s="687" t="str">
        <f t="shared" si="3"/>
        <v>2.79 - 2.97mm</v>
      </c>
      <c r="AB31" s="1060" t="s">
        <v>372</v>
      </c>
      <c r="AC31" s="634" t="s">
        <v>373</v>
      </c>
      <c r="AD31" s="634" t="str">
        <f t="shared" si="5"/>
        <v>.704" - .719"</v>
      </c>
      <c r="AE31" s="688" t="str">
        <f t="shared" si="6"/>
        <v>17.88 - 18.26mm</v>
      </c>
    </row>
    <row r="32" spans="2:31" s="72" customFormat="1" ht="15" x14ac:dyDescent="0.25">
      <c r="B32" s="659">
        <v>2</v>
      </c>
      <c r="D32" s="661">
        <v>0.11700000000000001</v>
      </c>
      <c r="E32" s="661">
        <v>0.124</v>
      </c>
      <c r="F32" s="659"/>
      <c r="G32" s="662">
        <v>2.97</v>
      </c>
      <c r="H32" s="662">
        <v>3.15</v>
      </c>
      <c r="J32" s="663" t="s">
        <v>268</v>
      </c>
      <c r="K32" s="664"/>
      <c r="L32" s="664"/>
      <c r="M32" s="382">
        <f t="shared" si="4"/>
        <v>7</v>
      </c>
      <c r="O32" s="665">
        <v>0.71899999999999997</v>
      </c>
      <c r="P32" s="665">
        <v>0.73499999999999999</v>
      </c>
      <c r="Q32" s="400"/>
      <c r="R32" s="663">
        <v>18.260000000000002</v>
      </c>
      <c r="S32" s="663">
        <v>18.670000000000002</v>
      </c>
      <c r="U32" s="663" t="s">
        <v>374</v>
      </c>
      <c r="V32" s="664"/>
      <c r="W32" s="1060" t="s">
        <v>268</v>
      </c>
      <c r="X32" s="634" t="s">
        <v>269</v>
      </c>
      <c r="Y32" s="634" t="str">
        <f t="shared" si="0"/>
        <v>.117" - .124"</v>
      </c>
      <c r="Z32" s="688" t="str">
        <f t="shared" si="3"/>
        <v>2.97 - 3.15mm</v>
      </c>
      <c r="AB32" s="1059" t="s">
        <v>374</v>
      </c>
      <c r="AC32" s="671" t="s">
        <v>375</v>
      </c>
      <c r="AD32" s="671" t="str">
        <f t="shared" si="5"/>
        <v>.719" - .735"</v>
      </c>
      <c r="AE32" s="687" t="str">
        <f t="shared" si="6"/>
        <v>18.26 - 18.67mm</v>
      </c>
    </row>
    <row r="33" spans="2:31" s="72" customFormat="1" ht="15" x14ac:dyDescent="0.25">
      <c r="B33" s="659">
        <v>2</v>
      </c>
      <c r="D33" s="661">
        <v>0.124</v>
      </c>
      <c r="E33" s="661">
        <v>0.13100000000000001</v>
      </c>
      <c r="F33" s="659"/>
      <c r="G33" s="662">
        <v>3.15</v>
      </c>
      <c r="H33" s="662">
        <v>3.33</v>
      </c>
      <c r="J33" s="663" t="s">
        <v>270</v>
      </c>
      <c r="K33" s="664"/>
      <c r="L33" s="664"/>
      <c r="M33" s="382">
        <f t="shared" si="4"/>
        <v>7</v>
      </c>
      <c r="O33" s="665">
        <v>0.73499999999999999</v>
      </c>
      <c r="P33" s="665">
        <v>0.75</v>
      </c>
      <c r="Q33" s="400"/>
      <c r="R33" s="663">
        <v>18.670000000000002</v>
      </c>
      <c r="S33" s="663">
        <v>19.05</v>
      </c>
      <c r="U33" s="674" t="s">
        <v>376</v>
      </c>
      <c r="V33" s="664"/>
      <c r="W33" s="1059" t="s">
        <v>270</v>
      </c>
      <c r="X33" s="671" t="s">
        <v>271</v>
      </c>
      <c r="Y33" s="671" t="str">
        <f t="shared" si="0"/>
        <v>.124" - .131"</v>
      </c>
      <c r="Z33" s="687" t="str">
        <f t="shared" si="3"/>
        <v>3.15 - 3.33mm</v>
      </c>
      <c r="AB33" s="1060" t="s">
        <v>376</v>
      </c>
      <c r="AC33" s="634" t="s">
        <v>377</v>
      </c>
      <c r="AD33" s="634" t="str">
        <f t="shared" si="5"/>
        <v>.735" - .750"</v>
      </c>
      <c r="AE33" s="688" t="str">
        <f t="shared" si="6"/>
        <v>18.67 - 19.05mm</v>
      </c>
    </row>
    <row r="34" spans="2:31" s="72" customFormat="1" thickBot="1" x14ac:dyDescent="0.3">
      <c r="B34" s="659">
        <v>2</v>
      </c>
      <c r="D34" s="661">
        <v>0.13100000000000001</v>
      </c>
      <c r="E34" s="661">
        <v>0.13800000000000001</v>
      </c>
      <c r="F34" s="659"/>
      <c r="G34" s="662">
        <v>3.33</v>
      </c>
      <c r="H34" s="662">
        <v>3.51</v>
      </c>
      <c r="J34" s="663" t="s">
        <v>272</v>
      </c>
      <c r="K34" s="664"/>
      <c r="L34" s="664"/>
      <c r="M34" s="362">
        <f t="shared" si="4"/>
        <v>7</v>
      </c>
      <c r="O34" s="675">
        <v>0.75</v>
      </c>
      <c r="P34" s="675">
        <v>0.76</v>
      </c>
      <c r="Q34" s="400"/>
      <c r="R34" s="670">
        <v>19.05</v>
      </c>
      <c r="S34" s="670">
        <v>19.3</v>
      </c>
      <c r="U34" s="670" t="s">
        <v>378</v>
      </c>
      <c r="V34" s="664"/>
      <c r="W34" s="1060" t="s">
        <v>272</v>
      </c>
      <c r="X34" s="634" t="s">
        <v>273</v>
      </c>
      <c r="Y34" s="634" t="str">
        <f t="shared" si="0"/>
        <v>.131" - .138"</v>
      </c>
      <c r="Z34" s="688" t="str">
        <f t="shared" si="3"/>
        <v>3.33 - 3.51mm</v>
      </c>
      <c r="AB34" s="1066" t="s">
        <v>378</v>
      </c>
      <c r="AC34" s="678" t="s">
        <v>379</v>
      </c>
      <c r="AD34" s="678" t="str">
        <f t="shared" si="5"/>
        <v>.750" - .760"</v>
      </c>
      <c r="AE34" s="694" t="str">
        <f t="shared" si="6"/>
        <v>19.05 - 19.30mm</v>
      </c>
    </row>
    <row r="35" spans="2:31" s="72" customFormat="1" ht="15" x14ac:dyDescent="0.25">
      <c r="B35" s="659">
        <v>2</v>
      </c>
      <c r="D35" s="661">
        <v>0.13800000000000001</v>
      </c>
      <c r="E35" s="661">
        <v>0.14499999999999999</v>
      </c>
      <c r="F35" s="659"/>
      <c r="G35" s="662">
        <v>3.51</v>
      </c>
      <c r="H35" s="662">
        <v>3.68</v>
      </c>
      <c r="J35" s="663" t="s">
        <v>274</v>
      </c>
      <c r="K35" s="664"/>
      <c r="L35" s="664"/>
      <c r="M35" s="382">
        <f t="shared" si="4"/>
        <v>8</v>
      </c>
      <c r="O35" s="665">
        <v>0.76</v>
      </c>
      <c r="P35" s="665">
        <v>0.78100000000000003</v>
      </c>
      <c r="Q35" s="400"/>
      <c r="R35" s="663">
        <v>19.3</v>
      </c>
      <c r="S35" s="663">
        <v>19.84</v>
      </c>
      <c r="U35" s="663" t="s">
        <v>380</v>
      </c>
      <c r="V35" s="664"/>
      <c r="W35" s="1059" t="s">
        <v>274</v>
      </c>
      <c r="X35" s="671" t="s">
        <v>275</v>
      </c>
      <c r="Y35" s="671" t="str">
        <f t="shared" si="0"/>
        <v>.138" - .145"</v>
      </c>
      <c r="Z35" s="687" t="str">
        <f t="shared" si="3"/>
        <v>3.51 - 3.68mm</v>
      </c>
      <c r="AB35" s="1062" t="s">
        <v>380</v>
      </c>
      <c r="AC35" s="667" t="s">
        <v>381</v>
      </c>
      <c r="AD35" s="667" t="str">
        <f t="shared" si="5"/>
        <v>.760" - .781"</v>
      </c>
      <c r="AE35" s="690" t="str">
        <f t="shared" si="6"/>
        <v>19.30 - 19.84mm</v>
      </c>
    </row>
    <row r="36" spans="2:31" s="72" customFormat="1" ht="15" x14ac:dyDescent="0.25">
      <c r="B36" s="659">
        <v>2</v>
      </c>
      <c r="D36" s="661">
        <v>0.14499999999999999</v>
      </c>
      <c r="E36" s="661">
        <v>0.152</v>
      </c>
      <c r="F36" s="659"/>
      <c r="G36" s="662">
        <v>3.68</v>
      </c>
      <c r="H36" s="662">
        <v>3.86</v>
      </c>
      <c r="J36" s="674" t="s">
        <v>276</v>
      </c>
      <c r="M36" s="382">
        <f t="shared" si="4"/>
        <v>8</v>
      </c>
      <c r="O36" s="665">
        <v>0.78100000000000003</v>
      </c>
      <c r="P36" s="665">
        <v>0.81200000000000006</v>
      </c>
      <c r="Q36" s="400"/>
      <c r="R36" s="663">
        <v>19.84</v>
      </c>
      <c r="S36" s="663">
        <v>20.62</v>
      </c>
      <c r="U36" s="663" t="s">
        <v>382</v>
      </c>
      <c r="W36" s="1060" t="s">
        <v>276</v>
      </c>
      <c r="X36" s="634" t="s">
        <v>277</v>
      </c>
      <c r="Y36" s="634" t="str">
        <f t="shared" si="0"/>
        <v>.145" - .152"</v>
      </c>
      <c r="Z36" s="688" t="str">
        <f t="shared" si="3"/>
        <v>3.68 - 3.86mm</v>
      </c>
      <c r="AB36" s="1059" t="s">
        <v>382</v>
      </c>
      <c r="AC36" s="671" t="s">
        <v>383</v>
      </c>
      <c r="AD36" s="671" t="str">
        <f t="shared" si="5"/>
        <v>.781" - .812"</v>
      </c>
      <c r="AE36" s="687" t="str">
        <f t="shared" si="6"/>
        <v>19.84 - 20.62mm</v>
      </c>
    </row>
    <row r="37" spans="2:31" s="72" customFormat="1" ht="15" x14ac:dyDescent="0.25">
      <c r="B37" s="659">
        <v>2</v>
      </c>
      <c r="D37" s="661">
        <v>0.152</v>
      </c>
      <c r="E37" s="661">
        <v>0.159</v>
      </c>
      <c r="F37" s="659"/>
      <c r="G37" s="662">
        <v>3.86</v>
      </c>
      <c r="H37" s="662">
        <v>4.04</v>
      </c>
      <c r="J37" s="674" t="s">
        <v>278</v>
      </c>
      <c r="M37" s="382">
        <f t="shared" si="4"/>
        <v>8</v>
      </c>
      <c r="O37" s="665">
        <v>0.81200000000000006</v>
      </c>
      <c r="P37" s="665">
        <v>0.84299999999999997</v>
      </c>
      <c r="Q37" s="400"/>
      <c r="R37" s="663">
        <v>20.62</v>
      </c>
      <c r="S37" s="663">
        <v>21.41</v>
      </c>
      <c r="U37" s="663" t="s">
        <v>384</v>
      </c>
      <c r="W37" s="1059" t="s">
        <v>278</v>
      </c>
      <c r="X37" s="671" t="s">
        <v>279</v>
      </c>
      <c r="Y37" s="671" t="str">
        <f t="shared" si="0"/>
        <v>.152" - .159"</v>
      </c>
      <c r="Z37" s="687" t="str">
        <f t="shared" si="3"/>
        <v>3.86 - 4.04mm</v>
      </c>
      <c r="AB37" s="1060" t="s">
        <v>384</v>
      </c>
      <c r="AC37" s="634" t="s">
        <v>385</v>
      </c>
      <c r="AD37" s="634" t="str">
        <f t="shared" si="5"/>
        <v>.812" - .843"</v>
      </c>
      <c r="AE37" s="688" t="str">
        <f t="shared" si="6"/>
        <v>20.62 - 21.41mm</v>
      </c>
    </row>
    <row r="38" spans="2:31" s="72" customFormat="1" ht="15" x14ac:dyDescent="0.25">
      <c r="B38" s="659">
        <v>2</v>
      </c>
      <c r="D38" s="661">
        <v>0.159</v>
      </c>
      <c r="E38" s="661">
        <v>0.16600000000000001</v>
      </c>
      <c r="F38" s="659"/>
      <c r="G38" s="662">
        <v>4.04</v>
      </c>
      <c r="H38" s="662">
        <v>4.22</v>
      </c>
      <c r="J38" s="663" t="s">
        <v>280</v>
      </c>
      <c r="M38" s="382">
        <f t="shared" si="4"/>
        <v>8</v>
      </c>
      <c r="O38" s="665">
        <v>0.84299999999999997</v>
      </c>
      <c r="P38" s="665">
        <v>0.875</v>
      </c>
      <c r="Q38" s="400"/>
      <c r="R38" s="663">
        <v>21.41</v>
      </c>
      <c r="S38" s="663">
        <v>22.23</v>
      </c>
      <c r="U38" s="674" t="s">
        <v>386</v>
      </c>
      <c r="W38" s="1060" t="s">
        <v>280</v>
      </c>
      <c r="X38" s="634" t="s">
        <v>281</v>
      </c>
      <c r="Y38" s="634" t="str">
        <f t="shared" si="0"/>
        <v>.159" - .166"</v>
      </c>
      <c r="Z38" s="688" t="str">
        <f t="shared" si="3"/>
        <v>4.04 - 4.22mm</v>
      </c>
      <c r="AB38" s="1059" t="s">
        <v>386</v>
      </c>
      <c r="AC38" s="671" t="s">
        <v>387</v>
      </c>
      <c r="AD38" s="671" t="str">
        <f t="shared" si="5"/>
        <v>.843" - .875"</v>
      </c>
      <c r="AE38" s="687" t="str">
        <f t="shared" si="6"/>
        <v>21.41 - 22.23mm</v>
      </c>
    </row>
    <row r="39" spans="2:31" s="72" customFormat="1" ht="15" x14ac:dyDescent="0.25">
      <c r="B39" s="659">
        <v>2</v>
      </c>
      <c r="D39" s="661">
        <v>0.16600000000000001</v>
      </c>
      <c r="E39" s="661">
        <v>0.17299999999999999</v>
      </c>
      <c r="F39" s="659"/>
      <c r="G39" s="662">
        <v>4.22</v>
      </c>
      <c r="H39" s="662">
        <v>4.3899999999999997</v>
      </c>
      <c r="J39" s="663" t="s">
        <v>282</v>
      </c>
      <c r="M39" s="382">
        <f t="shared" si="4"/>
        <v>8</v>
      </c>
      <c r="O39" s="665">
        <v>0.875</v>
      </c>
      <c r="P39" s="665">
        <v>0.90600000000000003</v>
      </c>
      <c r="Q39" s="400"/>
      <c r="R39" s="663">
        <v>22.23</v>
      </c>
      <c r="S39" s="663">
        <v>23.01</v>
      </c>
      <c r="U39" s="663" t="s">
        <v>388</v>
      </c>
      <c r="W39" s="1059" t="s">
        <v>282</v>
      </c>
      <c r="X39" s="671" t="s">
        <v>283</v>
      </c>
      <c r="Y39" s="671" t="str">
        <f t="shared" si="0"/>
        <v>.166" - .173"</v>
      </c>
      <c r="Z39" s="687" t="str">
        <f t="shared" si="3"/>
        <v>4.22 - 4.39mm</v>
      </c>
      <c r="AB39" s="1060" t="s">
        <v>388</v>
      </c>
      <c r="AC39" s="634" t="s">
        <v>389</v>
      </c>
      <c r="AD39" s="634" t="str">
        <f t="shared" si="5"/>
        <v>.875" - .906"</v>
      </c>
      <c r="AE39" s="688" t="str">
        <f t="shared" si="6"/>
        <v>22.23 - 23.01mm</v>
      </c>
    </row>
    <row r="40" spans="2:31" s="72" customFormat="1" thickBot="1" x14ac:dyDescent="0.3">
      <c r="B40" s="676">
        <v>2</v>
      </c>
      <c r="D40" s="668">
        <v>0.17299999999999999</v>
      </c>
      <c r="E40" s="668">
        <v>0.18</v>
      </c>
      <c r="F40" s="659"/>
      <c r="G40" s="669">
        <v>4.3899999999999997</v>
      </c>
      <c r="H40" s="669">
        <v>4.57</v>
      </c>
      <c r="J40" s="670" t="s">
        <v>284</v>
      </c>
      <c r="M40" s="382">
        <f t="shared" si="4"/>
        <v>8</v>
      </c>
      <c r="O40" s="665">
        <v>0.90600000000000003</v>
      </c>
      <c r="P40" s="665">
        <v>0.93700000000000006</v>
      </c>
      <c r="Q40" s="400"/>
      <c r="R40" s="663">
        <v>23.01</v>
      </c>
      <c r="S40" s="663">
        <v>23.8</v>
      </c>
      <c r="U40" s="663" t="s">
        <v>390</v>
      </c>
      <c r="W40" s="1063" t="s">
        <v>284</v>
      </c>
      <c r="X40" s="680" t="s">
        <v>285</v>
      </c>
      <c r="Y40" s="680" t="str">
        <f t="shared" si="0"/>
        <v>.173" - .180"</v>
      </c>
      <c r="Z40" s="691" t="str">
        <f t="shared" si="3"/>
        <v>4.39 - 4.57mm</v>
      </c>
      <c r="AB40" s="1059" t="s">
        <v>390</v>
      </c>
      <c r="AC40" s="671" t="s">
        <v>391</v>
      </c>
      <c r="AD40" s="671" t="str">
        <f t="shared" si="5"/>
        <v>.906" - .937"</v>
      </c>
      <c r="AE40" s="687" t="str">
        <f t="shared" si="6"/>
        <v>23.01 - 23.80mm</v>
      </c>
    </row>
    <row r="41" spans="2:31" s="72" customFormat="1" ht="15" x14ac:dyDescent="0.25">
      <c r="B41" s="659">
        <v>3</v>
      </c>
      <c r="D41" s="661">
        <v>0.18</v>
      </c>
      <c r="E41" s="661">
        <v>0.188</v>
      </c>
      <c r="F41" s="659"/>
      <c r="G41" s="662">
        <v>4.57</v>
      </c>
      <c r="H41" s="662">
        <v>4.78</v>
      </c>
      <c r="J41" s="663" t="s">
        <v>286</v>
      </c>
      <c r="M41" s="382">
        <f t="shared" si="4"/>
        <v>8</v>
      </c>
      <c r="O41" s="665">
        <v>0.93700000000000006</v>
      </c>
      <c r="P41" s="665">
        <v>0.96799999999999997</v>
      </c>
      <c r="Q41" s="400"/>
      <c r="R41" s="663">
        <v>23.8</v>
      </c>
      <c r="S41" s="663">
        <v>24.59</v>
      </c>
      <c r="U41" s="663" t="s">
        <v>392</v>
      </c>
      <c r="W41" s="1064" t="s">
        <v>286</v>
      </c>
      <c r="X41" s="681" t="s">
        <v>287</v>
      </c>
      <c r="Y41" s="681" t="str">
        <f t="shared" si="0"/>
        <v>.180" - .188"</v>
      </c>
      <c r="Z41" s="692" t="str">
        <f t="shared" si="3"/>
        <v>4.57 - 4.78mm</v>
      </c>
      <c r="AB41" s="1060" t="s">
        <v>392</v>
      </c>
      <c r="AC41" s="634" t="s">
        <v>393</v>
      </c>
      <c r="AD41" s="634" t="str">
        <f t="shared" si="5"/>
        <v>.937" - .968"</v>
      </c>
      <c r="AE41" s="688" t="str">
        <f t="shared" si="6"/>
        <v>23.80 - 24.59mm</v>
      </c>
    </row>
    <row r="42" spans="2:31" s="72" customFormat="1" thickBot="1" x14ac:dyDescent="0.3">
      <c r="B42" s="659">
        <v>3</v>
      </c>
      <c r="D42" s="661">
        <v>0.188</v>
      </c>
      <c r="E42" s="661">
        <v>0.19600000000000001</v>
      </c>
      <c r="F42" s="659"/>
      <c r="G42" s="662">
        <v>4.78</v>
      </c>
      <c r="H42" s="662">
        <v>4.9800000000000004</v>
      </c>
      <c r="J42" s="663" t="s">
        <v>288</v>
      </c>
      <c r="M42" s="362">
        <f t="shared" si="4"/>
        <v>8</v>
      </c>
      <c r="O42" s="675">
        <v>0.96799999999999997</v>
      </c>
      <c r="P42" s="675">
        <v>1.01</v>
      </c>
      <c r="Q42" s="400"/>
      <c r="R42" s="670">
        <v>24.59</v>
      </c>
      <c r="S42" s="670">
        <v>25.65</v>
      </c>
      <c r="U42" s="670" t="s">
        <v>394</v>
      </c>
      <c r="W42" s="1060" t="s">
        <v>288</v>
      </c>
      <c r="X42" s="634" t="s">
        <v>289</v>
      </c>
      <c r="Y42" s="634" t="str">
        <f t="shared" si="0"/>
        <v>.188" - .196"</v>
      </c>
      <c r="Z42" s="688" t="str">
        <f t="shared" si="3"/>
        <v>4.78 - 4.98mm</v>
      </c>
      <c r="AB42" s="1061" t="s">
        <v>394</v>
      </c>
      <c r="AC42" s="677" t="s">
        <v>395</v>
      </c>
      <c r="AD42" s="677" t="str">
        <f t="shared" si="5"/>
        <v>.968" - 1.010"</v>
      </c>
      <c r="AE42" s="689" t="str">
        <f t="shared" si="6"/>
        <v>24.59 - 25.65mm</v>
      </c>
    </row>
    <row r="43" spans="2:31" s="72" customFormat="1" ht="15" x14ac:dyDescent="0.25">
      <c r="B43" s="659">
        <v>3</v>
      </c>
      <c r="D43" s="661">
        <v>0.19600000000000001</v>
      </c>
      <c r="E43" s="661">
        <v>0.20399999999999999</v>
      </c>
      <c r="F43" s="659"/>
      <c r="G43" s="662">
        <v>4.9800000000000004</v>
      </c>
      <c r="H43" s="662">
        <v>5.18</v>
      </c>
      <c r="J43" s="663" t="s">
        <v>290</v>
      </c>
      <c r="W43" s="1059" t="s">
        <v>290</v>
      </c>
      <c r="X43" s="671" t="s">
        <v>291</v>
      </c>
      <c r="Y43" s="671" t="str">
        <f t="shared" si="0"/>
        <v>.196" - .204"</v>
      </c>
      <c r="Z43" s="687" t="str">
        <f t="shared" si="3"/>
        <v>4.98 - 5.18mm</v>
      </c>
    </row>
    <row r="44" spans="2:31" s="72" customFormat="1" ht="15" x14ac:dyDescent="0.25">
      <c r="B44" s="659">
        <v>3</v>
      </c>
      <c r="D44" s="661">
        <v>0.20399999999999999</v>
      </c>
      <c r="E44" s="661">
        <v>0.21199999999999999</v>
      </c>
      <c r="F44" s="659"/>
      <c r="G44" s="662">
        <v>5.18</v>
      </c>
      <c r="H44" s="662">
        <v>5.38</v>
      </c>
      <c r="J44" s="663" t="s">
        <v>292</v>
      </c>
      <c r="W44" s="1060" t="s">
        <v>292</v>
      </c>
      <c r="X44" s="634" t="s">
        <v>293</v>
      </c>
      <c r="Y44" s="634" t="str">
        <f t="shared" si="0"/>
        <v>.204" - .212"</v>
      </c>
      <c r="Z44" s="688" t="str">
        <f t="shared" si="3"/>
        <v>5.18 - 5.38mm</v>
      </c>
      <c r="AB44" s="382" t="s">
        <v>882</v>
      </c>
    </row>
    <row r="45" spans="2:31" s="72" customFormat="1" ht="15" x14ac:dyDescent="0.25">
      <c r="B45" s="659">
        <v>3</v>
      </c>
      <c r="D45" s="661">
        <v>0.21199999999999999</v>
      </c>
      <c r="E45" s="661">
        <v>0.22</v>
      </c>
      <c r="F45" s="659"/>
      <c r="G45" s="662">
        <v>5.38</v>
      </c>
      <c r="H45" s="662">
        <v>5.59</v>
      </c>
      <c r="J45" s="663" t="s">
        <v>294</v>
      </c>
      <c r="W45" s="1059" t="s">
        <v>294</v>
      </c>
      <c r="X45" s="671" t="s">
        <v>295</v>
      </c>
      <c r="Y45" s="671" t="str">
        <f t="shared" si="0"/>
        <v>.212" - .220"</v>
      </c>
      <c r="Z45" s="687" t="str">
        <f t="shared" si="3"/>
        <v>5.38 - 5.59mm</v>
      </c>
    </row>
    <row r="46" spans="2:31" s="72" customFormat="1" ht="15" x14ac:dyDescent="0.25">
      <c r="B46" s="659">
        <v>3</v>
      </c>
      <c r="D46" s="661">
        <v>0.22</v>
      </c>
      <c r="E46" s="661">
        <v>0.22800000000000001</v>
      </c>
      <c r="F46" s="659"/>
      <c r="G46" s="662">
        <v>5.59</v>
      </c>
      <c r="H46" s="662">
        <v>5.79</v>
      </c>
      <c r="J46" s="663" t="s">
        <v>296</v>
      </c>
      <c r="W46" s="1060" t="s">
        <v>296</v>
      </c>
      <c r="X46" s="634" t="s">
        <v>297</v>
      </c>
      <c r="Y46" s="634" t="str">
        <f t="shared" si="0"/>
        <v>.220" - .228"</v>
      </c>
      <c r="Z46" s="688" t="str">
        <f t="shared" si="3"/>
        <v>5.59 - 5.79mm</v>
      </c>
    </row>
    <row r="47" spans="2:31" s="72" customFormat="1" ht="15" x14ac:dyDescent="0.25">
      <c r="B47" s="659">
        <v>3</v>
      </c>
      <c r="D47" s="661">
        <v>0.22800000000000001</v>
      </c>
      <c r="E47" s="661">
        <v>0.23599999999999999</v>
      </c>
      <c r="F47" s="659"/>
      <c r="G47" s="662">
        <v>5.79</v>
      </c>
      <c r="H47" s="662">
        <v>5.99</v>
      </c>
      <c r="J47" s="663" t="s">
        <v>298</v>
      </c>
      <c r="W47" s="1059" t="s">
        <v>298</v>
      </c>
      <c r="X47" s="671" t="s">
        <v>299</v>
      </c>
      <c r="Y47" s="671" t="str">
        <f t="shared" si="0"/>
        <v>.228" - .236"</v>
      </c>
      <c r="Z47" s="687" t="str">
        <f t="shared" si="3"/>
        <v>5.79 - 5.99mm</v>
      </c>
    </row>
    <row r="48" spans="2:31" s="72" customFormat="1" ht="15" x14ac:dyDescent="0.25">
      <c r="B48" s="659">
        <v>3</v>
      </c>
      <c r="D48" s="661">
        <v>0.23599999999999999</v>
      </c>
      <c r="E48" s="661">
        <v>0.24399999999999999</v>
      </c>
      <c r="F48" s="659"/>
      <c r="G48" s="662">
        <v>5.99</v>
      </c>
      <c r="H48" s="662">
        <v>6.2</v>
      </c>
      <c r="J48" s="674" t="s">
        <v>300</v>
      </c>
      <c r="W48" s="1060" t="s">
        <v>300</v>
      </c>
      <c r="X48" s="634" t="s">
        <v>301</v>
      </c>
      <c r="Y48" s="634" t="str">
        <f t="shared" si="0"/>
        <v>.236" - .244"</v>
      </c>
      <c r="Z48" s="688" t="str">
        <f t="shared" si="3"/>
        <v>5.99 - 6.20mm</v>
      </c>
    </row>
    <row r="49" spans="1:26" s="72" customFormat="1" ht="15" x14ac:dyDescent="0.25">
      <c r="A49" s="682"/>
      <c r="B49" s="659">
        <v>3</v>
      </c>
      <c r="C49" s="682"/>
      <c r="D49" s="661">
        <v>0.24399999999999999</v>
      </c>
      <c r="E49" s="661">
        <v>0.252</v>
      </c>
      <c r="F49" s="659"/>
      <c r="G49" s="662">
        <v>6.2</v>
      </c>
      <c r="H49" s="662">
        <v>6.4</v>
      </c>
      <c r="J49" s="674" t="s">
        <v>302</v>
      </c>
      <c r="W49" s="1059" t="s">
        <v>302</v>
      </c>
      <c r="X49" s="671" t="s">
        <v>303</v>
      </c>
      <c r="Y49" s="671" t="str">
        <f t="shared" si="0"/>
        <v>.244" - .252"</v>
      </c>
      <c r="Z49" s="687" t="str">
        <f t="shared" si="3"/>
        <v>6.20 - 6.40mm</v>
      </c>
    </row>
    <row r="50" spans="1:26" s="72" customFormat="1" ht="15" x14ac:dyDescent="0.25">
      <c r="B50" s="659">
        <v>3</v>
      </c>
      <c r="D50" s="661">
        <v>0.252</v>
      </c>
      <c r="E50" s="661">
        <v>0.26100000000000001</v>
      </c>
      <c r="F50" s="659"/>
      <c r="G50" s="662">
        <v>6.4</v>
      </c>
      <c r="H50" s="662">
        <v>6.63</v>
      </c>
      <c r="J50" s="663" t="s">
        <v>304</v>
      </c>
      <c r="W50" s="1060" t="s">
        <v>304</v>
      </c>
      <c r="X50" s="634" t="s">
        <v>305</v>
      </c>
      <c r="Y50" s="634" t="str">
        <f t="shared" si="0"/>
        <v>.252" - .261"</v>
      </c>
      <c r="Z50" s="688" t="str">
        <f t="shared" si="3"/>
        <v>6.40 - 6.63mm</v>
      </c>
    </row>
    <row r="51" spans="1:26" s="72" customFormat="1" ht="15" x14ac:dyDescent="0.25">
      <c r="B51" s="659">
        <v>3</v>
      </c>
      <c r="D51" s="661">
        <v>0.26100000000000001</v>
      </c>
      <c r="E51" s="661">
        <v>0.27100000000000002</v>
      </c>
      <c r="F51" s="659"/>
      <c r="G51" s="662">
        <v>6.63</v>
      </c>
      <c r="H51" s="662">
        <v>6.88</v>
      </c>
      <c r="J51" s="663" t="s">
        <v>306</v>
      </c>
      <c r="W51" s="1059" t="s">
        <v>306</v>
      </c>
      <c r="X51" s="671" t="s">
        <v>307</v>
      </c>
      <c r="Y51" s="671" t="str">
        <f t="shared" si="0"/>
        <v>.261" - .271"</v>
      </c>
      <c r="Z51" s="687" t="str">
        <f t="shared" si="3"/>
        <v>6.63 - 6.88mm</v>
      </c>
    </row>
    <row r="52" spans="1:26" s="72" customFormat="1" thickBot="1" x14ac:dyDescent="0.3">
      <c r="B52" s="676">
        <v>3</v>
      </c>
      <c r="D52" s="668">
        <v>0.27100000000000002</v>
      </c>
      <c r="E52" s="668">
        <v>0.28100000000000003</v>
      </c>
      <c r="F52" s="659"/>
      <c r="G52" s="669">
        <v>6.88</v>
      </c>
      <c r="H52" s="669">
        <v>7.14</v>
      </c>
      <c r="J52" s="670" t="s">
        <v>308</v>
      </c>
      <c r="W52" s="1063" t="s">
        <v>308</v>
      </c>
      <c r="X52" s="680" t="s">
        <v>309</v>
      </c>
      <c r="Y52" s="680" t="str">
        <f t="shared" si="0"/>
        <v>.271" - .281"</v>
      </c>
      <c r="Z52" s="691" t="str">
        <f t="shared" si="3"/>
        <v>6.88 - 7.14mm</v>
      </c>
    </row>
    <row r="53" spans="1:26" s="72" customFormat="1" ht="15" x14ac:dyDescent="0.25">
      <c r="B53" s="659">
        <v>4</v>
      </c>
      <c r="D53" s="661">
        <v>0.28100000000000003</v>
      </c>
      <c r="E53" s="661">
        <v>0.29099999999999998</v>
      </c>
      <c r="F53" s="659"/>
      <c r="G53" s="662">
        <v>7.14</v>
      </c>
      <c r="H53" s="662">
        <v>7.39</v>
      </c>
      <c r="J53" s="663" t="s">
        <v>310</v>
      </c>
      <c r="W53" s="1064" t="s">
        <v>310</v>
      </c>
      <c r="X53" s="681" t="s">
        <v>311</v>
      </c>
      <c r="Y53" s="681" t="str">
        <f t="shared" si="0"/>
        <v>.281" - .291"</v>
      </c>
      <c r="Z53" s="692" t="str">
        <f t="shared" si="3"/>
        <v>7.14 - 7.39mm</v>
      </c>
    </row>
    <row r="54" spans="1:26" s="72" customFormat="1" ht="15" x14ac:dyDescent="0.25">
      <c r="B54" s="659">
        <v>4</v>
      </c>
      <c r="D54" s="661">
        <v>0.29099999999999998</v>
      </c>
      <c r="E54" s="661">
        <v>0.30099999999999999</v>
      </c>
      <c r="F54" s="659"/>
      <c r="G54" s="662">
        <v>7.39</v>
      </c>
      <c r="H54" s="662">
        <v>7.65</v>
      </c>
      <c r="J54" s="663" t="s">
        <v>312</v>
      </c>
      <c r="W54" s="1060" t="s">
        <v>312</v>
      </c>
      <c r="X54" s="634" t="s">
        <v>313</v>
      </c>
      <c r="Y54" s="634" t="str">
        <f t="shared" si="0"/>
        <v>.291" - .301"</v>
      </c>
      <c r="Z54" s="688" t="str">
        <f t="shared" si="3"/>
        <v>7.39 - 7.65mm</v>
      </c>
    </row>
    <row r="55" spans="1:26" s="72" customFormat="1" ht="15" x14ac:dyDescent="0.25">
      <c r="B55" s="659">
        <v>4</v>
      </c>
      <c r="D55" s="661">
        <v>0.30099999999999999</v>
      </c>
      <c r="E55" s="661">
        <v>0.311</v>
      </c>
      <c r="F55" s="659"/>
      <c r="G55" s="662">
        <v>7.65</v>
      </c>
      <c r="H55" s="662">
        <v>7.9</v>
      </c>
      <c r="J55" s="663" t="s">
        <v>314</v>
      </c>
      <c r="W55" s="1059" t="s">
        <v>314</v>
      </c>
      <c r="X55" s="671" t="s">
        <v>315</v>
      </c>
      <c r="Y55" s="671" t="str">
        <f t="shared" si="0"/>
        <v>.301" - .311"</v>
      </c>
      <c r="Z55" s="687" t="str">
        <f t="shared" si="3"/>
        <v>7.65 - 7.90mm</v>
      </c>
    </row>
    <row r="56" spans="1:26" s="72" customFormat="1" ht="15" x14ac:dyDescent="0.25">
      <c r="B56" s="659">
        <v>4</v>
      </c>
      <c r="D56" s="661">
        <v>0.311</v>
      </c>
      <c r="E56" s="661">
        <v>0.32100000000000001</v>
      </c>
      <c r="F56" s="659"/>
      <c r="G56" s="662">
        <v>7.9</v>
      </c>
      <c r="H56" s="662">
        <v>8.15</v>
      </c>
      <c r="J56" s="663" t="s">
        <v>316</v>
      </c>
      <c r="W56" s="1060" t="s">
        <v>316</v>
      </c>
      <c r="X56" s="634" t="s">
        <v>317</v>
      </c>
      <c r="Y56" s="634" t="str">
        <f t="shared" si="0"/>
        <v>.311" - .321"</v>
      </c>
      <c r="Z56" s="688" t="str">
        <f t="shared" si="3"/>
        <v>7.90 - 8.15mm</v>
      </c>
    </row>
    <row r="57" spans="1:26" s="72" customFormat="1" ht="15" x14ac:dyDescent="0.25">
      <c r="B57" s="659">
        <v>4</v>
      </c>
      <c r="D57" s="661">
        <v>0.32100000000000001</v>
      </c>
      <c r="E57" s="661">
        <v>0.33100000000000002</v>
      </c>
      <c r="F57" s="659"/>
      <c r="G57" s="662">
        <v>8.15</v>
      </c>
      <c r="H57" s="662">
        <v>8.41</v>
      </c>
      <c r="J57" s="663" t="s">
        <v>318</v>
      </c>
      <c r="W57" s="1059" t="s">
        <v>318</v>
      </c>
      <c r="X57" s="671" t="s">
        <v>319</v>
      </c>
      <c r="Y57" s="671" t="str">
        <f t="shared" si="0"/>
        <v>.321" - .331"</v>
      </c>
      <c r="Z57" s="687" t="str">
        <f t="shared" si="3"/>
        <v>8.15 - 8.41mm</v>
      </c>
    </row>
    <row r="58" spans="1:26" s="72" customFormat="1" ht="15" x14ac:dyDescent="0.25">
      <c r="B58" s="659">
        <v>4</v>
      </c>
      <c r="D58" s="661">
        <v>0.33100000000000002</v>
      </c>
      <c r="E58" s="661">
        <v>0.34100000000000003</v>
      </c>
      <c r="F58" s="659"/>
      <c r="G58" s="662">
        <v>8.41</v>
      </c>
      <c r="H58" s="662">
        <v>8.66</v>
      </c>
      <c r="J58" s="663" t="s">
        <v>320</v>
      </c>
      <c r="W58" s="1060" t="s">
        <v>320</v>
      </c>
      <c r="X58" s="634" t="s">
        <v>321</v>
      </c>
      <c r="Y58" s="634" t="str">
        <f t="shared" si="0"/>
        <v>.331" - .341"</v>
      </c>
      <c r="Z58" s="688" t="str">
        <f t="shared" si="3"/>
        <v>8.41 - 8.66mm</v>
      </c>
    </row>
    <row r="59" spans="1:26" s="72" customFormat="1" ht="15" x14ac:dyDescent="0.25">
      <c r="B59" s="659">
        <v>4</v>
      </c>
      <c r="D59" s="661">
        <v>0.34100000000000003</v>
      </c>
      <c r="E59" s="661">
        <v>0.35099999999999998</v>
      </c>
      <c r="F59" s="659"/>
      <c r="G59" s="662">
        <v>8.66</v>
      </c>
      <c r="H59" s="662">
        <v>8.92</v>
      </c>
      <c r="J59" s="663" t="s">
        <v>322</v>
      </c>
      <c r="W59" s="1059" t="s">
        <v>322</v>
      </c>
      <c r="X59" s="671" t="s">
        <v>323</v>
      </c>
      <c r="Y59" s="671" t="str">
        <f t="shared" si="0"/>
        <v>.341" - .351"</v>
      </c>
      <c r="Z59" s="687" t="str">
        <f t="shared" si="3"/>
        <v>8.66 - 8.92mm</v>
      </c>
    </row>
    <row r="60" spans="1:26" s="72" customFormat="1" ht="15" x14ac:dyDescent="0.25">
      <c r="B60" s="659">
        <v>4</v>
      </c>
      <c r="D60" s="661">
        <v>0.35099999999999998</v>
      </c>
      <c r="E60" s="661">
        <v>0.36099999999999999</v>
      </c>
      <c r="F60" s="659"/>
      <c r="G60" s="662">
        <v>8.92</v>
      </c>
      <c r="H60" s="662">
        <v>9.17</v>
      </c>
      <c r="J60" s="663" t="s">
        <v>324</v>
      </c>
      <c r="W60" s="1060" t="s">
        <v>324</v>
      </c>
      <c r="X60" s="634" t="s">
        <v>325</v>
      </c>
      <c r="Y60" s="634" t="str">
        <f t="shared" si="0"/>
        <v>.351" - .361"</v>
      </c>
      <c r="Z60" s="688" t="str">
        <f t="shared" si="3"/>
        <v>8.92 - 9.17mm</v>
      </c>
    </row>
    <row r="61" spans="1:26" s="72" customFormat="1" ht="15" x14ac:dyDescent="0.25">
      <c r="B61" s="659">
        <v>4</v>
      </c>
      <c r="D61" s="661">
        <v>0.36099999999999999</v>
      </c>
      <c r="E61" s="661">
        <v>0.371</v>
      </c>
      <c r="F61" s="659"/>
      <c r="G61" s="662">
        <v>9.17</v>
      </c>
      <c r="H61" s="662">
        <v>9.42</v>
      </c>
      <c r="J61" s="674" t="s">
        <v>326</v>
      </c>
      <c r="W61" s="1059" t="s">
        <v>326</v>
      </c>
      <c r="X61" s="671" t="s">
        <v>327</v>
      </c>
      <c r="Y61" s="671" t="str">
        <f t="shared" si="0"/>
        <v>.361" - .371"</v>
      </c>
      <c r="Z61" s="687" t="str">
        <f t="shared" si="3"/>
        <v>9.17 - 9.42mm</v>
      </c>
    </row>
    <row r="62" spans="1:26" s="72" customFormat="1" ht="15" x14ac:dyDescent="0.25">
      <c r="B62" s="659">
        <v>4</v>
      </c>
      <c r="D62" s="661">
        <v>0.371</v>
      </c>
      <c r="E62" s="661">
        <v>0.38200000000000001</v>
      </c>
      <c r="F62" s="659"/>
      <c r="G62" s="662">
        <v>9.42</v>
      </c>
      <c r="H62" s="662">
        <v>9.6999999999999993</v>
      </c>
      <c r="J62" s="674" t="s">
        <v>328</v>
      </c>
      <c r="W62" s="1060" t="s">
        <v>328</v>
      </c>
      <c r="X62" s="634" t="s">
        <v>329</v>
      </c>
      <c r="Y62" s="634" t="str">
        <f t="shared" si="0"/>
        <v>.371" - .382"</v>
      </c>
      <c r="Z62" s="688" t="str">
        <f t="shared" si="3"/>
        <v>9.42 - 9.70mm</v>
      </c>
    </row>
    <row r="63" spans="1:26" s="72" customFormat="1" ht="15" x14ac:dyDescent="0.25">
      <c r="B63" s="659">
        <v>4</v>
      </c>
      <c r="D63" s="661">
        <v>0.38200000000000001</v>
      </c>
      <c r="E63" s="661">
        <v>0.39400000000000002</v>
      </c>
      <c r="F63" s="659"/>
      <c r="G63" s="662">
        <v>9.6999999999999993</v>
      </c>
      <c r="H63" s="662">
        <v>10.01</v>
      </c>
      <c r="J63" s="663" t="s">
        <v>330</v>
      </c>
      <c r="W63" s="1059" t="s">
        <v>330</v>
      </c>
      <c r="X63" s="671" t="s">
        <v>331</v>
      </c>
      <c r="Y63" s="671" t="str">
        <f t="shared" si="0"/>
        <v>.382" - .394"</v>
      </c>
      <c r="Z63" s="687" t="str">
        <f t="shared" si="3"/>
        <v>9.70 - 10.01mm</v>
      </c>
    </row>
    <row r="64" spans="1:26" s="72" customFormat="1" thickBot="1" x14ac:dyDescent="0.3">
      <c r="B64" s="676">
        <v>4</v>
      </c>
      <c r="D64" s="668">
        <v>0.39400000000000002</v>
      </c>
      <c r="E64" s="668">
        <v>0.40600000000000003</v>
      </c>
      <c r="F64" s="659"/>
      <c r="G64" s="669">
        <v>10.01</v>
      </c>
      <c r="H64" s="669">
        <v>10.31</v>
      </c>
      <c r="J64" s="670" t="s">
        <v>332</v>
      </c>
      <c r="W64" s="1063" t="s">
        <v>332</v>
      </c>
      <c r="X64" s="680" t="s">
        <v>333</v>
      </c>
      <c r="Y64" s="680" t="str">
        <f t="shared" si="0"/>
        <v>.394" - .406"</v>
      </c>
      <c r="Z64" s="691" t="str">
        <f t="shared" si="3"/>
        <v>10.01 - 10.31mm</v>
      </c>
    </row>
    <row r="65" spans="2:26" s="72" customFormat="1" ht="15" x14ac:dyDescent="0.25">
      <c r="B65" s="659">
        <v>5</v>
      </c>
      <c r="D65" s="661">
        <v>0.40600000000000003</v>
      </c>
      <c r="E65" s="661">
        <v>0.42</v>
      </c>
      <c r="F65" s="659"/>
      <c r="G65" s="662">
        <v>10.31</v>
      </c>
      <c r="H65" s="662">
        <v>10.67</v>
      </c>
      <c r="J65" s="663" t="s">
        <v>334</v>
      </c>
      <c r="W65"/>
      <c r="X65"/>
      <c r="Y65"/>
      <c r="Z65"/>
    </row>
    <row r="66" spans="2:26" s="72" customFormat="1" ht="15" x14ac:dyDescent="0.25">
      <c r="B66" s="659">
        <v>5</v>
      </c>
      <c r="D66" s="661">
        <v>0.42</v>
      </c>
      <c r="E66" s="661">
        <v>0.435</v>
      </c>
      <c r="F66" s="659"/>
      <c r="G66" s="662">
        <v>10.67</v>
      </c>
      <c r="H66" s="662">
        <v>11.05</v>
      </c>
      <c r="J66" s="663" t="s">
        <v>336</v>
      </c>
      <c r="W66"/>
      <c r="X66"/>
      <c r="Y66"/>
      <c r="Z66"/>
    </row>
    <row r="67" spans="2:26" s="72" customFormat="1" ht="15" x14ac:dyDescent="0.25">
      <c r="B67" s="659">
        <v>5</v>
      </c>
      <c r="D67" s="661">
        <v>0.435</v>
      </c>
      <c r="E67" s="661">
        <v>0.45</v>
      </c>
      <c r="F67" s="659"/>
      <c r="G67" s="662">
        <v>11.05</v>
      </c>
      <c r="H67" s="662">
        <v>11.43</v>
      </c>
      <c r="J67" s="663" t="s">
        <v>338</v>
      </c>
      <c r="W67"/>
      <c r="X67"/>
      <c r="Y67"/>
      <c r="Z67"/>
    </row>
    <row r="68" spans="2:26" s="72" customFormat="1" ht="15" x14ac:dyDescent="0.25">
      <c r="B68" s="659">
        <v>5</v>
      </c>
      <c r="D68" s="661">
        <v>0.45</v>
      </c>
      <c r="E68" s="661">
        <v>0.46500000000000002</v>
      </c>
      <c r="F68" s="659"/>
      <c r="G68" s="662">
        <v>11.43</v>
      </c>
      <c r="H68" s="662">
        <v>11.81</v>
      </c>
      <c r="J68" s="663" t="s">
        <v>340</v>
      </c>
      <c r="W68"/>
      <c r="X68"/>
      <c r="Y68"/>
      <c r="Z68"/>
    </row>
    <row r="69" spans="2:26" s="72" customFormat="1" ht="15" x14ac:dyDescent="0.25">
      <c r="B69" s="659">
        <v>5</v>
      </c>
      <c r="D69" s="661">
        <v>0.46500000000000002</v>
      </c>
      <c r="E69" s="661">
        <v>0.48</v>
      </c>
      <c r="F69" s="659"/>
      <c r="G69" s="662">
        <v>11.81</v>
      </c>
      <c r="H69" s="662">
        <v>12.19</v>
      </c>
      <c r="J69" s="663" t="s">
        <v>342</v>
      </c>
      <c r="W69"/>
      <c r="X69"/>
      <c r="Y69"/>
      <c r="Z69"/>
    </row>
    <row r="70" spans="2:26" s="72" customFormat="1" ht="15" x14ac:dyDescent="0.25">
      <c r="B70" s="659">
        <v>5</v>
      </c>
      <c r="D70" s="661">
        <v>0.48</v>
      </c>
      <c r="E70" s="661">
        <v>0.495</v>
      </c>
      <c r="F70" s="659"/>
      <c r="G70" s="662">
        <v>12.19</v>
      </c>
      <c r="H70" s="662">
        <v>12.57</v>
      </c>
      <c r="J70" s="674" t="s">
        <v>344</v>
      </c>
      <c r="W70"/>
      <c r="X70"/>
      <c r="Y70"/>
      <c r="Z70"/>
    </row>
    <row r="71" spans="2:26" s="72" customFormat="1" ht="15" x14ac:dyDescent="0.25">
      <c r="B71" s="676">
        <v>5</v>
      </c>
      <c r="D71" s="668">
        <v>0.495</v>
      </c>
      <c r="E71" s="668">
        <v>0.51</v>
      </c>
      <c r="F71" s="659"/>
      <c r="G71" s="669">
        <v>12.57</v>
      </c>
      <c r="H71" s="669">
        <v>12.95</v>
      </c>
      <c r="J71" s="670" t="s">
        <v>346</v>
      </c>
      <c r="W71"/>
      <c r="X71"/>
      <c r="Y71"/>
      <c r="Z71"/>
    </row>
    <row r="72" spans="2:26" s="72" customFormat="1" ht="15" x14ac:dyDescent="0.25">
      <c r="B72" s="659">
        <v>6</v>
      </c>
      <c r="D72" s="661">
        <v>0.51</v>
      </c>
      <c r="E72" s="661">
        <v>0.53200000000000003</v>
      </c>
      <c r="F72" s="659"/>
      <c r="G72" s="662">
        <v>12.95</v>
      </c>
      <c r="H72" s="662">
        <v>13.51</v>
      </c>
      <c r="J72" s="663" t="s">
        <v>348</v>
      </c>
      <c r="X72" s="249"/>
      <c r="Z72" s="249"/>
    </row>
    <row r="73" spans="2:26" s="72" customFormat="1" ht="15" x14ac:dyDescent="0.25">
      <c r="B73" s="659">
        <v>6</v>
      </c>
      <c r="D73" s="661">
        <v>0.54700000000000004</v>
      </c>
      <c r="E73" s="661">
        <v>0.56299999999999994</v>
      </c>
      <c r="F73" s="659"/>
      <c r="G73" s="662">
        <v>13.89</v>
      </c>
      <c r="H73" s="662">
        <v>14.3</v>
      </c>
      <c r="J73" s="663" t="s">
        <v>352</v>
      </c>
      <c r="X73" s="249"/>
      <c r="Z73" s="249"/>
    </row>
    <row r="74" spans="2:26" s="72" customFormat="1" ht="15" x14ac:dyDescent="0.25">
      <c r="B74" s="659">
        <v>6</v>
      </c>
      <c r="D74" s="661">
        <v>0.56299999999999994</v>
      </c>
      <c r="E74" s="661">
        <v>0.57899999999999996</v>
      </c>
      <c r="F74" s="659"/>
      <c r="G74" s="662">
        <v>14.3</v>
      </c>
      <c r="H74" s="662">
        <v>14.71</v>
      </c>
      <c r="J74" s="663" t="s">
        <v>354</v>
      </c>
      <c r="X74" s="249"/>
      <c r="Z74" s="249"/>
    </row>
    <row r="75" spans="2:26" s="72" customFormat="1" ht="15" x14ac:dyDescent="0.25">
      <c r="B75" s="659">
        <v>6</v>
      </c>
      <c r="D75" s="661">
        <v>0.57899999999999996</v>
      </c>
      <c r="E75" s="661">
        <v>0.59399999999999997</v>
      </c>
      <c r="F75" s="659"/>
      <c r="G75" s="662">
        <v>14.71</v>
      </c>
      <c r="H75" s="662">
        <v>15.09</v>
      </c>
      <c r="J75" s="663" t="s">
        <v>356</v>
      </c>
      <c r="X75" s="249"/>
      <c r="Z75" s="249"/>
    </row>
    <row r="76" spans="2:26" s="72" customFormat="1" ht="15" x14ac:dyDescent="0.25">
      <c r="B76" s="659">
        <v>6</v>
      </c>
      <c r="D76" s="661">
        <v>0.59399999999999997</v>
      </c>
      <c r="E76" s="661">
        <v>0.61</v>
      </c>
      <c r="F76" s="659"/>
      <c r="G76" s="662">
        <v>15.09</v>
      </c>
      <c r="H76" s="662">
        <v>15.49</v>
      </c>
      <c r="J76" s="663" t="s">
        <v>358</v>
      </c>
      <c r="X76" s="249"/>
      <c r="Z76" s="249"/>
    </row>
    <row r="77" spans="2:26" s="72" customFormat="1" ht="15" x14ac:dyDescent="0.25">
      <c r="B77" s="659">
        <v>6</v>
      </c>
      <c r="D77" s="661">
        <v>0.61</v>
      </c>
      <c r="E77" s="661">
        <v>0.625</v>
      </c>
      <c r="F77" s="659"/>
      <c r="G77" s="662">
        <v>15.49</v>
      </c>
      <c r="H77" s="662">
        <v>15.88</v>
      </c>
      <c r="J77" s="674" t="s">
        <v>360</v>
      </c>
      <c r="X77" s="249"/>
      <c r="Z77" s="249"/>
    </row>
    <row r="78" spans="2:26" s="72" customFormat="1" ht="15" x14ac:dyDescent="0.25">
      <c r="B78" s="676">
        <v>6</v>
      </c>
      <c r="D78" s="668">
        <v>0.625</v>
      </c>
      <c r="E78" s="668">
        <v>0.63500000000000001</v>
      </c>
      <c r="F78" s="659"/>
      <c r="G78" s="669">
        <v>15.88</v>
      </c>
      <c r="H78" s="669">
        <v>16.13</v>
      </c>
      <c r="J78" s="670" t="s">
        <v>362</v>
      </c>
      <c r="X78" s="249"/>
      <c r="Z78" s="249"/>
    </row>
    <row r="79" spans="2:26" s="72" customFormat="1" ht="15" x14ac:dyDescent="0.25">
      <c r="B79" s="659">
        <v>7</v>
      </c>
      <c r="D79" s="661">
        <v>0.63500000000000001</v>
      </c>
      <c r="E79" s="661">
        <v>0.65600000000000003</v>
      </c>
      <c r="F79" s="659"/>
      <c r="G79" s="662">
        <v>16.13</v>
      </c>
      <c r="H79" s="662">
        <v>16.66</v>
      </c>
      <c r="J79" s="663" t="s">
        <v>364</v>
      </c>
      <c r="X79" s="249"/>
      <c r="Z79" s="249"/>
    </row>
    <row r="80" spans="2:26" s="72" customFormat="1" ht="15" x14ac:dyDescent="0.25">
      <c r="B80" s="659">
        <v>7</v>
      </c>
      <c r="D80" s="661">
        <v>0.65600000000000003</v>
      </c>
      <c r="E80" s="661">
        <v>0.67200000000000004</v>
      </c>
      <c r="F80" s="659"/>
      <c r="G80" s="662">
        <v>16.66</v>
      </c>
      <c r="H80" s="662">
        <v>17.07</v>
      </c>
      <c r="J80" s="663" t="s">
        <v>366</v>
      </c>
      <c r="X80" s="249"/>
      <c r="Z80" s="249"/>
    </row>
    <row r="81" spans="2:26" s="72" customFormat="1" ht="15" x14ac:dyDescent="0.25">
      <c r="B81" s="659">
        <v>7</v>
      </c>
      <c r="D81" s="661">
        <v>0.67200000000000004</v>
      </c>
      <c r="E81" s="661">
        <v>0.68799999999999994</v>
      </c>
      <c r="F81" s="659"/>
      <c r="G81" s="662">
        <v>17.07</v>
      </c>
      <c r="H81" s="662">
        <v>17.48</v>
      </c>
      <c r="J81" s="663" t="s">
        <v>368</v>
      </c>
      <c r="X81" s="249"/>
      <c r="Z81" s="249"/>
    </row>
    <row r="82" spans="2:26" s="72" customFormat="1" ht="15" x14ac:dyDescent="0.25">
      <c r="B82" s="659">
        <v>7</v>
      </c>
      <c r="D82" s="661">
        <v>0.68799999999999994</v>
      </c>
      <c r="E82" s="661">
        <v>0.70399999999999996</v>
      </c>
      <c r="F82" s="659"/>
      <c r="G82" s="662">
        <v>17.48</v>
      </c>
      <c r="H82" s="662">
        <v>17.88</v>
      </c>
      <c r="J82" s="663" t="s">
        <v>370</v>
      </c>
      <c r="X82" s="249"/>
      <c r="Z82" s="249"/>
    </row>
    <row r="83" spans="2:26" s="72" customFormat="1" ht="15" x14ac:dyDescent="0.25">
      <c r="B83" s="659">
        <v>7</v>
      </c>
      <c r="D83" s="661">
        <v>0.70399999999999996</v>
      </c>
      <c r="E83" s="661">
        <v>0.71899999999999997</v>
      </c>
      <c r="F83" s="659"/>
      <c r="G83" s="662">
        <v>17.88</v>
      </c>
      <c r="H83" s="662">
        <v>18.260000000000002</v>
      </c>
      <c r="J83" s="663" t="s">
        <v>372</v>
      </c>
      <c r="X83" s="249"/>
      <c r="Z83" s="249"/>
    </row>
    <row r="84" spans="2:26" s="72" customFormat="1" ht="15" x14ac:dyDescent="0.25">
      <c r="B84" s="659">
        <v>7</v>
      </c>
      <c r="D84" s="661">
        <v>0.71899999999999997</v>
      </c>
      <c r="E84" s="661">
        <v>0.73499999999999999</v>
      </c>
      <c r="F84" s="659"/>
      <c r="G84" s="662">
        <v>18.260000000000002</v>
      </c>
      <c r="H84" s="662">
        <v>18.670000000000002</v>
      </c>
      <c r="J84" s="663" t="s">
        <v>374</v>
      </c>
      <c r="X84" s="249"/>
      <c r="Z84" s="249"/>
    </row>
    <row r="85" spans="2:26" s="72" customFormat="1" ht="15" x14ac:dyDescent="0.25">
      <c r="B85" s="659">
        <v>7</v>
      </c>
      <c r="D85" s="661">
        <v>0.73499999999999999</v>
      </c>
      <c r="E85" s="661">
        <v>0.75</v>
      </c>
      <c r="F85" s="659"/>
      <c r="G85" s="662">
        <v>18.670000000000002</v>
      </c>
      <c r="H85" s="662">
        <v>19.05</v>
      </c>
      <c r="J85" s="674" t="s">
        <v>376</v>
      </c>
      <c r="X85" s="249"/>
      <c r="Z85" s="249"/>
    </row>
    <row r="86" spans="2:26" s="72" customFormat="1" ht="15" x14ac:dyDescent="0.25">
      <c r="B86" s="676">
        <v>7</v>
      </c>
      <c r="D86" s="668">
        <v>0.75</v>
      </c>
      <c r="E86" s="668">
        <v>0.76</v>
      </c>
      <c r="F86" s="659"/>
      <c r="G86" s="669">
        <v>19.05</v>
      </c>
      <c r="H86" s="669">
        <v>19.3</v>
      </c>
      <c r="J86" s="670" t="s">
        <v>378</v>
      </c>
      <c r="X86" s="249"/>
      <c r="Z86" s="249"/>
    </row>
    <row r="87" spans="2:26" s="72" customFormat="1" ht="15" x14ac:dyDescent="0.25">
      <c r="B87" s="659">
        <v>8</v>
      </c>
      <c r="D87" s="661">
        <v>0.76</v>
      </c>
      <c r="E87" s="661">
        <v>0.78100000000000003</v>
      </c>
      <c r="F87" s="659"/>
      <c r="G87" s="662">
        <v>19.3</v>
      </c>
      <c r="H87" s="662">
        <v>19.84</v>
      </c>
      <c r="J87" s="663" t="s">
        <v>380</v>
      </c>
      <c r="X87" s="249"/>
      <c r="Z87" s="249"/>
    </row>
    <row r="88" spans="2:26" s="72" customFormat="1" ht="15" x14ac:dyDescent="0.25">
      <c r="B88" s="659">
        <v>8</v>
      </c>
      <c r="D88" s="661">
        <v>0.78100000000000003</v>
      </c>
      <c r="E88" s="661">
        <v>0.81200000000000006</v>
      </c>
      <c r="F88" s="659"/>
      <c r="G88" s="662">
        <v>19.84</v>
      </c>
      <c r="H88" s="662">
        <v>20.62</v>
      </c>
      <c r="J88" s="663" t="s">
        <v>382</v>
      </c>
      <c r="X88" s="249"/>
      <c r="Z88" s="249"/>
    </row>
    <row r="89" spans="2:26" s="72" customFormat="1" ht="15" x14ac:dyDescent="0.25">
      <c r="B89" s="659">
        <v>8</v>
      </c>
      <c r="D89" s="661">
        <v>0.81200000000000006</v>
      </c>
      <c r="E89" s="661">
        <v>0.84299999999999997</v>
      </c>
      <c r="F89" s="659"/>
      <c r="G89" s="662">
        <v>20.62</v>
      </c>
      <c r="H89" s="662">
        <v>21.41</v>
      </c>
      <c r="J89" s="663" t="s">
        <v>384</v>
      </c>
      <c r="X89" s="249"/>
      <c r="Z89" s="249"/>
    </row>
    <row r="90" spans="2:26" s="72" customFormat="1" ht="15" x14ac:dyDescent="0.25">
      <c r="B90" s="659">
        <v>8</v>
      </c>
      <c r="D90" s="661">
        <v>0.84299999999999997</v>
      </c>
      <c r="E90" s="661">
        <v>0.875</v>
      </c>
      <c r="F90" s="659"/>
      <c r="G90" s="662">
        <v>21.41</v>
      </c>
      <c r="H90" s="662">
        <v>22.23</v>
      </c>
      <c r="J90" s="674" t="s">
        <v>386</v>
      </c>
      <c r="X90" s="249"/>
      <c r="Z90" s="249"/>
    </row>
    <row r="91" spans="2:26" s="72" customFormat="1" ht="15" x14ac:dyDescent="0.25">
      <c r="B91" s="659">
        <v>8</v>
      </c>
      <c r="D91" s="661">
        <v>0.875</v>
      </c>
      <c r="E91" s="661">
        <v>0.90600000000000003</v>
      </c>
      <c r="F91" s="659"/>
      <c r="G91" s="662">
        <v>22.23</v>
      </c>
      <c r="H91" s="662">
        <v>23.01</v>
      </c>
      <c r="J91" s="663" t="s">
        <v>388</v>
      </c>
      <c r="X91" s="249"/>
      <c r="Z91" s="249"/>
    </row>
    <row r="92" spans="2:26" s="72" customFormat="1" ht="15" x14ac:dyDescent="0.25">
      <c r="B92" s="659">
        <v>8</v>
      </c>
      <c r="D92" s="661">
        <v>0.90600000000000003</v>
      </c>
      <c r="E92" s="661">
        <v>0.93700000000000006</v>
      </c>
      <c r="F92" s="659"/>
      <c r="G92" s="662">
        <v>23.01</v>
      </c>
      <c r="H92" s="662">
        <v>23.8</v>
      </c>
      <c r="J92" s="663" t="s">
        <v>390</v>
      </c>
      <c r="X92" s="249"/>
      <c r="Z92" s="249"/>
    </row>
    <row r="93" spans="2:26" s="72" customFormat="1" ht="15" x14ac:dyDescent="0.25">
      <c r="B93" s="659">
        <v>8</v>
      </c>
      <c r="D93" s="661">
        <v>0.93700000000000006</v>
      </c>
      <c r="E93" s="661">
        <v>0.96799999999999997</v>
      </c>
      <c r="F93" s="659"/>
      <c r="G93" s="662">
        <v>23.8</v>
      </c>
      <c r="H93" s="662">
        <v>24.59</v>
      </c>
      <c r="J93" s="663" t="s">
        <v>392</v>
      </c>
      <c r="X93" s="249"/>
      <c r="Z93" s="249"/>
    </row>
    <row r="94" spans="2:26" s="72" customFormat="1" ht="15" x14ac:dyDescent="0.25">
      <c r="B94" s="676">
        <v>8</v>
      </c>
      <c r="D94" s="668">
        <v>0.96799999999999997</v>
      </c>
      <c r="E94" s="668">
        <v>1.01</v>
      </c>
      <c r="F94" s="659"/>
      <c r="G94" s="669">
        <v>24.59</v>
      </c>
      <c r="H94" s="669">
        <v>25.65</v>
      </c>
      <c r="J94" s="670" t="s">
        <v>394</v>
      </c>
      <c r="X94" s="249"/>
      <c r="Z94" s="249"/>
    </row>
    <row r="95" spans="2:26" s="72" customFormat="1" ht="15" x14ac:dyDescent="0.25">
      <c r="B95" s="382"/>
      <c r="D95" s="659"/>
      <c r="E95" s="659"/>
      <c r="F95" s="382"/>
      <c r="G95" s="382"/>
      <c r="H95" s="659"/>
      <c r="J95" s="400"/>
      <c r="X95" s="249"/>
      <c r="Z95" s="249"/>
    </row>
    <row r="96" spans="2:26" s="72" customFormat="1" ht="15" x14ac:dyDescent="0.25">
      <c r="B96" s="382"/>
      <c r="D96" s="659"/>
      <c r="E96" s="659"/>
      <c r="F96" s="382"/>
      <c r="G96" s="382"/>
      <c r="H96" s="659"/>
      <c r="J96" s="400"/>
      <c r="X96" s="249"/>
      <c r="Z96" s="249"/>
    </row>
    <row r="97" spans="2:26" s="72" customFormat="1" ht="15" x14ac:dyDescent="0.25">
      <c r="B97" s="382"/>
      <c r="D97" s="400"/>
      <c r="E97" s="400"/>
      <c r="H97" s="400"/>
      <c r="J97" s="400"/>
      <c r="X97" s="249"/>
      <c r="Z97" s="249"/>
    </row>
    <row r="98" spans="2:26" x14ac:dyDescent="0.25">
      <c r="W98"/>
      <c r="X98" s="11"/>
      <c r="Y98"/>
      <c r="Z98" s="11"/>
    </row>
    <row r="99" spans="2:26" x14ac:dyDescent="0.25">
      <c r="W99"/>
      <c r="X99" s="11"/>
      <c r="Y99"/>
      <c r="Z99" s="11"/>
    </row>
    <row r="100" spans="2:26" x14ac:dyDescent="0.25">
      <c r="W100"/>
      <c r="X100" s="11"/>
      <c r="Y100"/>
      <c r="Z100" s="11"/>
    </row>
  </sheetData>
  <sheetProtection algorithmName="SHA-512" hashValue="L0RpY/jP2iriI6z8JzC4QgWd470DRJPa/eFts9+4WY+jSj1++mt2TnjUq3XvGOtyy0wNDaOWK7qQiNJJZscGEQ==" saltValue="lM0m3hx0Yb58+0l8ZGTsug==" spinCount="100000" sheet="1" objects="1" scenarios="1"/>
  <mergeCells count="4">
    <mergeCell ref="W10:W11"/>
    <mergeCell ref="X10:X11"/>
    <mergeCell ref="AB10:AB11"/>
    <mergeCell ref="AC10:AC11"/>
  </mergeCells>
  <pageMargins left="2.5000000000000001E-2" right="2.5000000000000001E-2" top="0.3" bottom="0.05" header="0.3" footer="0.3"/>
  <pageSetup scale="8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6FED7-C748-422E-A6EA-A36A5DCDB922}">
  <sheetPr codeName="Sheet25">
    <pageSetUpPr autoPageBreaks="0" fitToPage="1"/>
  </sheetPr>
  <dimension ref="B1:S70"/>
  <sheetViews>
    <sheetView showGridLines="0" zoomScale="90" zoomScaleNormal="90" workbookViewId="0">
      <selection activeCell="Q62" sqref="Q62"/>
    </sheetView>
  </sheetViews>
  <sheetFormatPr defaultRowHeight="15.75" outlineLevelCol="1" x14ac:dyDescent="0.25"/>
  <cols>
    <col min="1" max="1" width="2.7109375" customWidth="1"/>
    <col min="2" max="2" width="12" style="2" hidden="1" customWidth="1" outlineLevel="1"/>
    <col min="3" max="4" width="11.140625" style="2" hidden="1" customWidth="1" outlineLevel="1"/>
    <col min="5" max="5" width="18.140625" hidden="1" customWidth="1" outlineLevel="1"/>
    <col min="6" max="6" width="1.7109375" hidden="1" customWidth="1" outlineLevel="1"/>
    <col min="7" max="7" width="11.85546875" hidden="1" customWidth="1" outlineLevel="1"/>
    <col min="8" max="8" width="1.7109375" hidden="1" customWidth="1" outlineLevel="1"/>
    <col min="9" max="11" width="11.85546875" hidden="1" customWidth="1" outlineLevel="1"/>
    <col min="12" max="12" width="1.7109375" hidden="1" customWidth="1" outlineLevel="1"/>
    <col min="13" max="15" width="12.28515625" hidden="1" customWidth="1" outlineLevel="1"/>
    <col min="16" max="16" width="1.7109375" hidden="1" customWidth="1" outlineLevel="1"/>
    <col min="17" max="17" width="16.140625" style="9" customWidth="1" collapsed="1"/>
    <col min="18" max="18" width="35.28515625" style="9" customWidth="1"/>
    <col min="19" max="19" width="16.5703125" customWidth="1"/>
  </cols>
  <sheetData>
    <row r="1" spans="2:19" ht="9.9499999999999993" customHeight="1" x14ac:dyDescent="0.25"/>
    <row r="2" spans="2:19" ht="21" x14ac:dyDescent="0.35">
      <c r="B2" s="39"/>
      <c r="Q2" s="1" t="s">
        <v>408</v>
      </c>
    </row>
    <row r="3" spans="2:19" ht="15.6" customHeight="1" x14ac:dyDescent="0.25">
      <c r="Q3"/>
      <c r="R3"/>
    </row>
    <row r="4" spans="2:19" thickBot="1" x14ac:dyDescent="0.3">
      <c r="B4" s="574" t="s">
        <v>859</v>
      </c>
      <c r="C4" s="574" t="s">
        <v>860</v>
      </c>
      <c r="M4" s="568" t="s">
        <v>622</v>
      </c>
      <c r="N4" s="568" t="s">
        <v>749</v>
      </c>
      <c r="Q4" s="34"/>
      <c r="R4" s="34"/>
    </row>
    <row r="5" spans="2:19" ht="15" x14ac:dyDescent="0.25">
      <c r="B5" s="2">
        <v>280</v>
      </c>
      <c r="C5" s="2" t="s">
        <v>408</v>
      </c>
      <c r="G5" s="13"/>
      <c r="H5" s="13"/>
      <c r="I5" s="10" t="s">
        <v>622</v>
      </c>
      <c r="J5" s="10" t="s">
        <v>623</v>
      </c>
      <c r="K5" s="567" t="s">
        <v>626</v>
      </c>
      <c r="L5" s="567"/>
      <c r="M5" s="374">
        <v>0.3</v>
      </c>
      <c r="N5" s="374">
        <v>0.2</v>
      </c>
      <c r="O5" s="567" t="s">
        <v>626</v>
      </c>
      <c r="Q5" s="592" t="s">
        <v>667</v>
      </c>
      <c r="R5" s="592"/>
      <c r="S5" s="594"/>
    </row>
    <row r="6" spans="2:19" ht="15" x14ac:dyDescent="0.25">
      <c r="G6" s="13"/>
      <c r="H6" s="13"/>
      <c r="Q6" s="430" t="s">
        <v>9</v>
      </c>
      <c r="R6" s="431" t="s">
        <v>186</v>
      </c>
      <c r="S6" s="429" t="s">
        <v>568</v>
      </c>
    </row>
    <row r="7" spans="2:19" ht="15" x14ac:dyDescent="0.25">
      <c r="G7" s="13" t="s">
        <v>471</v>
      </c>
      <c r="H7" s="13"/>
      <c r="I7" s="525">
        <v>20</v>
      </c>
      <c r="J7" s="525">
        <v>25</v>
      </c>
      <c r="K7" s="543">
        <f>((J7-I7)/I7)</f>
        <v>0.25</v>
      </c>
      <c r="L7" s="543"/>
      <c r="M7" s="526">
        <f>(1-$M$5)*$I7</f>
        <v>14</v>
      </c>
      <c r="N7" s="526">
        <f>(1-$N$5)*$J7</f>
        <v>20</v>
      </c>
      <c r="O7" s="543">
        <f>((N7-M7)/M7)</f>
        <v>0.42857142857142855</v>
      </c>
      <c r="Q7" s="673" t="s">
        <v>471</v>
      </c>
      <c r="R7" s="924" t="s">
        <v>1349</v>
      </c>
      <c r="S7" s="1265">
        <f>$J7</f>
        <v>25</v>
      </c>
    </row>
    <row r="8" spans="2:19" ht="15" x14ac:dyDescent="0.25">
      <c r="G8" s="13" t="s">
        <v>472</v>
      </c>
      <c r="H8" s="13"/>
      <c r="I8" s="525">
        <v>40</v>
      </c>
      <c r="J8" s="525">
        <v>45</v>
      </c>
      <c r="K8" s="543">
        <f t="shared" ref="K8:K10" si="0">((J8-I8)/I8)</f>
        <v>0.125</v>
      </c>
      <c r="L8" s="543"/>
      <c r="M8" s="526">
        <f t="shared" ref="M8:M10" si="1">(1-$M$5)*$I8</f>
        <v>28</v>
      </c>
      <c r="N8" s="526">
        <f t="shared" ref="N8:N10" si="2">(1-$N$5)*$J8</f>
        <v>36</v>
      </c>
      <c r="O8" s="543">
        <f t="shared" ref="O8:O10" si="3">((N8-M8)/M8)</f>
        <v>0.2857142857142857</v>
      </c>
      <c r="Q8" s="673" t="s">
        <v>472</v>
      </c>
      <c r="R8" s="925" t="s">
        <v>1414</v>
      </c>
      <c r="S8" s="1265">
        <f t="shared" ref="S8:S10" si="4">$J8</f>
        <v>45</v>
      </c>
    </row>
    <row r="9" spans="2:19" ht="15" x14ac:dyDescent="0.25">
      <c r="G9" s="13" t="s">
        <v>426</v>
      </c>
      <c r="H9" s="13"/>
      <c r="I9" s="525">
        <v>450</v>
      </c>
      <c r="J9" s="525">
        <v>525</v>
      </c>
      <c r="K9" s="543">
        <f t="shared" si="0"/>
        <v>0.16666666666666666</v>
      </c>
      <c r="L9" s="543"/>
      <c r="M9" s="526">
        <f t="shared" si="1"/>
        <v>315</v>
      </c>
      <c r="N9" s="526">
        <f t="shared" si="2"/>
        <v>420</v>
      </c>
      <c r="O9" s="543">
        <f t="shared" si="3"/>
        <v>0.33333333333333331</v>
      </c>
      <c r="Q9" s="643" t="s">
        <v>426</v>
      </c>
      <c r="R9" s="921" t="s">
        <v>427</v>
      </c>
      <c r="S9" s="1265">
        <f t="shared" si="4"/>
        <v>525</v>
      </c>
    </row>
    <row r="10" spans="2:19" thickBot="1" x14ac:dyDescent="0.3">
      <c r="G10" s="13" t="s">
        <v>475</v>
      </c>
      <c r="H10" s="13"/>
      <c r="I10" s="525">
        <v>545</v>
      </c>
      <c r="J10" s="525">
        <v>625</v>
      </c>
      <c r="K10" s="543">
        <f t="shared" si="0"/>
        <v>0.14678899082568808</v>
      </c>
      <c r="L10" s="543"/>
      <c r="M10" s="526">
        <f t="shared" si="1"/>
        <v>381.5</v>
      </c>
      <c r="N10" s="526">
        <f t="shared" si="2"/>
        <v>500</v>
      </c>
      <c r="O10" s="543">
        <f t="shared" si="3"/>
        <v>0.31061598951507208</v>
      </c>
      <c r="Q10" s="922" t="s">
        <v>475</v>
      </c>
      <c r="R10" s="923" t="s">
        <v>1415</v>
      </c>
      <c r="S10" s="1266">
        <f t="shared" si="4"/>
        <v>625</v>
      </c>
    </row>
    <row r="11" spans="2:19" ht="4.1500000000000004" customHeight="1" x14ac:dyDescent="0.25">
      <c r="G11" s="13"/>
      <c r="H11" s="13"/>
      <c r="K11" s="543"/>
      <c r="L11" s="543"/>
      <c r="Q11" s="31"/>
      <c r="R11"/>
    </row>
    <row r="12" spans="2:19" ht="15" x14ac:dyDescent="0.25">
      <c r="G12" s="13"/>
      <c r="H12" s="13"/>
      <c r="K12" s="543"/>
      <c r="L12" s="543"/>
      <c r="Q12" t="s">
        <v>1413</v>
      </c>
      <c r="R12"/>
    </row>
    <row r="13" spans="2:19" ht="15" x14ac:dyDescent="0.25">
      <c r="G13" s="13"/>
      <c r="H13" s="13"/>
      <c r="K13" s="543"/>
      <c r="L13" s="543"/>
      <c r="Q13" s="34"/>
      <c r="R13" s="34"/>
    </row>
    <row r="14" spans="2:19" thickBot="1" x14ac:dyDescent="0.3">
      <c r="G14" s="13"/>
      <c r="H14" s="13"/>
      <c r="K14" s="543"/>
      <c r="L14" s="543"/>
      <c r="Q14" s="34"/>
      <c r="R14" s="34"/>
    </row>
    <row r="15" spans="2:19" ht="15" x14ac:dyDescent="0.25">
      <c r="G15" s="13"/>
      <c r="H15" s="13"/>
      <c r="K15" s="543"/>
      <c r="L15" s="543"/>
      <c r="Q15" s="592" t="s">
        <v>494</v>
      </c>
      <c r="R15" s="592"/>
      <c r="S15" s="593"/>
    </row>
    <row r="16" spans="2:19" ht="15" x14ac:dyDescent="0.25">
      <c r="C16" s="41" t="s">
        <v>4</v>
      </c>
      <c r="D16" s="41"/>
      <c r="G16" s="13"/>
      <c r="H16" s="13"/>
      <c r="K16" s="543"/>
      <c r="L16" s="543"/>
      <c r="Q16" s="297" t="s">
        <v>9</v>
      </c>
      <c r="R16" s="299" t="s">
        <v>186</v>
      </c>
      <c r="S16" s="298" t="s">
        <v>568</v>
      </c>
    </row>
    <row r="17" spans="2:19" ht="15" x14ac:dyDescent="0.25">
      <c r="B17" s="78" t="s">
        <v>496</v>
      </c>
      <c r="C17" s="351">
        <v>1.0999999999999999E-2</v>
      </c>
      <c r="D17" s="351">
        <v>0.06</v>
      </c>
      <c r="E17" s="432" t="str">
        <f>_xlfn.CONCAT(TEXT($C17,"#.000#"),""""," - ",TEXT($D17,"#.000#"),"""")</f>
        <v>.011" - .060"</v>
      </c>
      <c r="F17" s="432"/>
      <c r="G17" s="78" t="s">
        <v>409</v>
      </c>
      <c r="H17" s="78"/>
      <c r="I17" s="525">
        <v>20</v>
      </c>
      <c r="J17" s="525">
        <v>25</v>
      </c>
      <c r="K17" s="543">
        <f t="shared" ref="K17:K32" si="5">((J17-I17)/I17)</f>
        <v>0.25</v>
      </c>
      <c r="L17" s="543"/>
      <c r="M17" s="526">
        <f t="shared" ref="M17:M32" si="6">(1-$M$5)*$I17</f>
        <v>14</v>
      </c>
      <c r="N17" s="526">
        <f t="shared" ref="N17:N32" si="7">(1-$N$5)*$J17</f>
        <v>20</v>
      </c>
      <c r="O17" s="543">
        <f t="shared" ref="O17:O32" si="8">((N17-M17)/M17)</f>
        <v>0.42857142857142855</v>
      </c>
      <c r="Q17" s="129" t="s">
        <v>409</v>
      </c>
      <c r="R17" s="300" t="str">
        <f>_xlfn.CONCAT($B17," Insert (","",$E17,")")</f>
        <v>M0 Insert (.011" - .060")</v>
      </c>
      <c r="S17" s="1267">
        <f t="shared" ref="S17:S32" si="9">$J17</f>
        <v>25</v>
      </c>
    </row>
    <row r="18" spans="2:19" ht="15" x14ac:dyDescent="0.25">
      <c r="B18" s="78" t="s">
        <v>497</v>
      </c>
      <c r="C18" s="351">
        <v>1.15E-2</v>
      </c>
      <c r="D18" s="351">
        <v>6.0499999999999998E-2</v>
      </c>
      <c r="E18" s="432" t="str">
        <f t="shared" ref="E18:E32" si="10">_xlfn.CONCAT(TEXT($C18,"#.000#"),""""," - ",TEXT($D18,"#.000#"),"""")</f>
        <v>.0115" - .0605"</v>
      </c>
      <c r="F18" s="432"/>
      <c r="G18" s="78" t="s">
        <v>410</v>
      </c>
      <c r="H18" s="78"/>
      <c r="I18" s="525">
        <v>20</v>
      </c>
      <c r="J18" s="525">
        <v>25</v>
      </c>
      <c r="K18" s="543">
        <f t="shared" si="5"/>
        <v>0.25</v>
      </c>
      <c r="L18" s="543"/>
      <c r="M18" s="526">
        <f t="shared" si="6"/>
        <v>14</v>
      </c>
      <c r="N18" s="526">
        <f t="shared" si="7"/>
        <v>20</v>
      </c>
      <c r="O18" s="543">
        <f t="shared" si="8"/>
        <v>0.42857142857142855</v>
      </c>
      <c r="Q18" s="277" t="s">
        <v>410</v>
      </c>
      <c r="R18" s="301" t="str">
        <f t="shared" ref="R18:R32" si="11">_xlfn.CONCAT($B18," Insert (","",$E18,")")</f>
        <v>M05 Insert (.0115" - .0605")</v>
      </c>
      <c r="S18" s="1268">
        <f t="shared" si="9"/>
        <v>25</v>
      </c>
    </row>
    <row r="19" spans="2:19" ht="15" x14ac:dyDescent="0.25">
      <c r="B19" s="78" t="s">
        <v>498</v>
      </c>
      <c r="C19" s="351">
        <v>1.0999999999999999E-2</v>
      </c>
      <c r="D19" s="351">
        <v>0.25</v>
      </c>
      <c r="E19" s="432" t="str">
        <f t="shared" si="10"/>
        <v>.011" - .250"</v>
      </c>
      <c r="F19" s="432"/>
      <c r="G19" s="78" t="s">
        <v>411</v>
      </c>
      <c r="H19" s="78"/>
      <c r="I19" s="525">
        <v>35</v>
      </c>
      <c r="J19" s="525">
        <v>40</v>
      </c>
      <c r="K19" s="543">
        <f t="shared" si="5"/>
        <v>0.14285714285714285</v>
      </c>
      <c r="L19" s="543"/>
      <c r="M19" s="526">
        <f t="shared" si="6"/>
        <v>24.5</v>
      </c>
      <c r="N19" s="526">
        <f t="shared" si="7"/>
        <v>32</v>
      </c>
      <c r="O19" s="543">
        <f t="shared" si="8"/>
        <v>0.30612244897959184</v>
      </c>
      <c r="Q19" s="129" t="s">
        <v>411</v>
      </c>
      <c r="R19" s="300" t="str">
        <f t="shared" si="11"/>
        <v>M1/C10 Insert (.011" - .250")</v>
      </c>
      <c r="S19" s="1267">
        <f t="shared" si="9"/>
        <v>40</v>
      </c>
    </row>
    <row r="20" spans="2:19" ht="15" x14ac:dyDescent="0.25">
      <c r="B20" s="78" t="s">
        <v>499</v>
      </c>
      <c r="C20" s="351">
        <v>1.15E-2</v>
      </c>
      <c r="D20" s="351">
        <v>0.2505</v>
      </c>
      <c r="E20" s="432" t="str">
        <f t="shared" si="10"/>
        <v>.0115" - .2505"</v>
      </c>
      <c r="F20" s="432"/>
      <c r="G20" s="78" t="s">
        <v>412</v>
      </c>
      <c r="H20" s="78"/>
      <c r="I20" s="525">
        <v>35</v>
      </c>
      <c r="J20" s="525">
        <v>40</v>
      </c>
      <c r="K20" s="543">
        <f t="shared" si="5"/>
        <v>0.14285714285714285</v>
      </c>
      <c r="L20" s="543"/>
      <c r="M20" s="526">
        <f t="shared" si="6"/>
        <v>24.5</v>
      </c>
      <c r="N20" s="526">
        <f t="shared" si="7"/>
        <v>32</v>
      </c>
      <c r="O20" s="543">
        <f t="shared" si="8"/>
        <v>0.30612244897959184</v>
      </c>
      <c r="Q20" s="277" t="s">
        <v>412</v>
      </c>
      <c r="R20" s="301" t="str">
        <f t="shared" si="11"/>
        <v>M15/C105 Insert (.0115" - .2505")</v>
      </c>
      <c r="S20" s="1268">
        <f t="shared" si="9"/>
        <v>40</v>
      </c>
    </row>
    <row r="21" spans="2:19" ht="15" x14ac:dyDescent="0.25">
      <c r="B21" s="78" t="s">
        <v>500</v>
      </c>
      <c r="C21" s="351">
        <v>0.251</v>
      </c>
      <c r="D21" s="351">
        <v>0.5</v>
      </c>
      <c r="E21" s="432" t="str">
        <f t="shared" si="10"/>
        <v>.251" - .500"</v>
      </c>
      <c r="F21" s="432"/>
      <c r="G21" s="78" t="s">
        <v>413</v>
      </c>
      <c r="H21" s="78"/>
      <c r="I21" s="525">
        <v>35</v>
      </c>
      <c r="J21" s="525">
        <v>40</v>
      </c>
      <c r="K21" s="543">
        <f t="shared" si="5"/>
        <v>0.14285714285714285</v>
      </c>
      <c r="L21" s="543"/>
      <c r="M21" s="526">
        <f t="shared" si="6"/>
        <v>24.5</v>
      </c>
      <c r="N21" s="526">
        <f t="shared" si="7"/>
        <v>32</v>
      </c>
      <c r="O21" s="543">
        <f t="shared" si="8"/>
        <v>0.30612244897959184</v>
      </c>
      <c r="Q21" s="129" t="s">
        <v>413</v>
      </c>
      <c r="R21" s="300" t="str">
        <f t="shared" si="11"/>
        <v>M2 Insert (.251" - .500")</v>
      </c>
      <c r="S21" s="1267">
        <f t="shared" si="9"/>
        <v>40</v>
      </c>
    </row>
    <row r="22" spans="2:19" ht="15" x14ac:dyDescent="0.25">
      <c r="B22" s="78" t="s">
        <v>501</v>
      </c>
      <c r="C22" s="351">
        <v>0.2515</v>
      </c>
      <c r="D22" s="351">
        <v>0.50049999999999994</v>
      </c>
      <c r="E22" s="432" t="str">
        <f t="shared" si="10"/>
        <v>.2515" - .5005"</v>
      </c>
      <c r="F22" s="432"/>
      <c r="G22" s="78" t="s">
        <v>414</v>
      </c>
      <c r="H22" s="78"/>
      <c r="I22" s="525">
        <v>35</v>
      </c>
      <c r="J22" s="525">
        <v>40</v>
      </c>
      <c r="K22" s="543">
        <f t="shared" si="5"/>
        <v>0.14285714285714285</v>
      </c>
      <c r="L22" s="543"/>
      <c r="M22" s="526">
        <f t="shared" si="6"/>
        <v>24.5</v>
      </c>
      <c r="N22" s="526">
        <f t="shared" si="7"/>
        <v>32</v>
      </c>
      <c r="O22" s="543">
        <f t="shared" si="8"/>
        <v>0.30612244897959184</v>
      </c>
      <c r="Q22" s="277" t="s">
        <v>414</v>
      </c>
      <c r="R22" s="301" t="str">
        <f t="shared" si="11"/>
        <v>M25 Insert (.2515" - .5005")</v>
      </c>
      <c r="S22" s="1268">
        <f t="shared" si="9"/>
        <v>40</v>
      </c>
    </row>
    <row r="23" spans="2:19" ht="15" x14ac:dyDescent="0.25">
      <c r="B23" s="78" t="s">
        <v>502</v>
      </c>
      <c r="C23" s="351">
        <v>0.501</v>
      </c>
      <c r="D23" s="351">
        <v>0.625</v>
      </c>
      <c r="E23" s="432" t="str">
        <f t="shared" si="10"/>
        <v>.501" - .625"</v>
      </c>
      <c r="F23" s="432"/>
      <c r="G23" s="78" t="s">
        <v>415</v>
      </c>
      <c r="H23" s="78"/>
      <c r="I23" s="525">
        <v>35</v>
      </c>
      <c r="J23" s="525">
        <v>40</v>
      </c>
      <c r="K23" s="543">
        <f t="shared" si="5"/>
        <v>0.14285714285714285</v>
      </c>
      <c r="L23" s="543"/>
      <c r="M23" s="526">
        <f t="shared" si="6"/>
        <v>24.5</v>
      </c>
      <c r="N23" s="526">
        <f t="shared" si="7"/>
        <v>32</v>
      </c>
      <c r="O23" s="543">
        <f t="shared" si="8"/>
        <v>0.30612244897959184</v>
      </c>
      <c r="Q23" s="129" t="s">
        <v>415</v>
      </c>
      <c r="R23" s="300" t="str">
        <f t="shared" si="11"/>
        <v>M3 Insert (.501" - .625")</v>
      </c>
      <c r="S23" s="1267">
        <f t="shared" si="9"/>
        <v>40</v>
      </c>
    </row>
    <row r="24" spans="2:19" ht="15" x14ac:dyDescent="0.25">
      <c r="B24" s="78" t="s">
        <v>503</v>
      </c>
      <c r="C24" s="351">
        <v>0.50149999999999995</v>
      </c>
      <c r="D24" s="351">
        <v>0.62549999999999994</v>
      </c>
      <c r="E24" s="432" t="str">
        <f t="shared" si="10"/>
        <v>.5015" - .6255"</v>
      </c>
      <c r="F24" s="432"/>
      <c r="G24" s="78" t="s">
        <v>416</v>
      </c>
      <c r="H24" s="78"/>
      <c r="I24" s="525">
        <v>35</v>
      </c>
      <c r="J24" s="525">
        <v>40</v>
      </c>
      <c r="K24" s="543">
        <f t="shared" si="5"/>
        <v>0.14285714285714285</v>
      </c>
      <c r="L24" s="543"/>
      <c r="M24" s="526">
        <f t="shared" si="6"/>
        <v>24.5</v>
      </c>
      <c r="N24" s="526">
        <f t="shared" si="7"/>
        <v>32</v>
      </c>
      <c r="O24" s="543">
        <f t="shared" si="8"/>
        <v>0.30612244897959184</v>
      </c>
      <c r="Q24" s="277" t="s">
        <v>416</v>
      </c>
      <c r="R24" s="301" t="str">
        <f t="shared" si="11"/>
        <v>M35 Insert (.5015" - .6255")</v>
      </c>
      <c r="S24" s="1268">
        <f t="shared" si="9"/>
        <v>40</v>
      </c>
    </row>
    <row r="25" spans="2:19" ht="15" x14ac:dyDescent="0.25">
      <c r="B25" s="78" t="s">
        <v>504</v>
      </c>
      <c r="C25" s="351">
        <v>0.626</v>
      </c>
      <c r="D25" s="351">
        <v>0.75</v>
      </c>
      <c r="E25" s="432" t="str">
        <f t="shared" si="10"/>
        <v>.626" - .750"</v>
      </c>
      <c r="F25" s="432"/>
      <c r="G25" s="78" t="s">
        <v>418</v>
      </c>
      <c r="H25" s="78"/>
      <c r="I25" s="525">
        <v>35</v>
      </c>
      <c r="J25" s="525">
        <v>40</v>
      </c>
      <c r="K25" s="543">
        <f t="shared" si="5"/>
        <v>0.14285714285714285</v>
      </c>
      <c r="L25" s="543"/>
      <c r="M25" s="526">
        <f t="shared" si="6"/>
        <v>24.5</v>
      </c>
      <c r="N25" s="526">
        <f t="shared" si="7"/>
        <v>32</v>
      </c>
      <c r="O25" s="543">
        <f t="shared" si="8"/>
        <v>0.30612244897959184</v>
      </c>
      <c r="Q25" s="129" t="s">
        <v>418</v>
      </c>
      <c r="R25" s="300" t="str">
        <f t="shared" si="11"/>
        <v>M4 Insert (.626" - .750")</v>
      </c>
      <c r="S25" s="1267">
        <f t="shared" si="9"/>
        <v>40</v>
      </c>
    </row>
    <row r="26" spans="2:19" ht="15" x14ac:dyDescent="0.25">
      <c r="B26" s="78" t="s">
        <v>505</v>
      </c>
      <c r="C26" s="351">
        <v>0.62649999999999995</v>
      </c>
      <c r="D26" s="351">
        <v>0.75049999999999994</v>
      </c>
      <c r="E26" s="432" t="str">
        <f t="shared" si="10"/>
        <v>.6265" - .7505"</v>
      </c>
      <c r="F26" s="432"/>
      <c r="G26" s="78" t="s">
        <v>419</v>
      </c>
      <c r="H26" s="78"/>
      <c r="I26" s="525">
        <v>35</v>
      </c>
      <c r="J26" s="525">
        <v>40</v>
      </c>
      <c r="K26" s="543">
        <f t="shared" si="5"/>
        <v>0.14285714285714285</v>
      </c>
      <c r="L26" s="543"/>
      <c r="M26" s="526">
        <f t="shared" si="6"/>
        <v>24.5</v>
      </c>
      <c r="N26" s="526">
        <f t="shared" si="7"/>
        <v>32</v>
      </c>
      <c r="O26" s="543">
        <f t="shared" si="8"/>
        <v>0.30612244897959184</v>
      </c>
      <c r="Q26" s="277" t="s">
        <v>419</v>
      </c>
      <c r="R26" s="301" t="str">
        <f t="shared" si="11"/>
        <v>M45 Insert (.6265" - .7505")</v>
      </c>
      <c r="S26" s="1268">
        <f t="shared" si="9"/>
        <v>40</v>
      </c>
    </row>
    <row r="27" spans="2:19" ht="15" x14ac:dyDescent="0.25">
      <c r="B27" s="78" t="s">
        <v>506</v>
      </c>
      <c r="C27" s="351">
        <v>0.751</v>
      </c>
      <c r="D27" s="351">
        <v>0.83199999999999996</v>
      </c>
      <c r="E27" s="432" t="str">
        <f t="shared" si="10"/>
        <v>.751" - .832"</v>
      </c>
      <c r="F27" s="432"/>
      <c r="G27" s="78" t="s">
        <v>420</v>
      </c>
      <c r="H27" s="78"/>
      <c r="I27" s="525">
        <v>35</v>
      </c>
      <c r="J27" s="525">
        <v>40</v>
      </c>
      <c r="K27" s="543">
        <f t="shared" si="5"/>
        <v>0.14285714285714285</v>
      </c>
      <c r="L27" s="543"/>
      <c r="M27" s="526">
        <f t="shared" si="6"/>
        <v>24.5</v>
      </c>
      <c r="N27" s="526">
        <f t="shared" si="7"/>
        <v>32</v>
      </c>
      <c r="O27" s="543">
        <f t="shared" si="8"/>
        <v>0.30612244897959184</v>
      </c>
      <c r="Q27" s="129" t="s">
        <v>420</v>
      </c>
      <c r="R27" s="300" t="str">
        <f t="shared" si="11"/>
        <v>M5 Insert (.751" - .832")</v>
      </c>
      <c r="S27" s="1267">
        <f t="shared" si="9"/>
        <v>40</v>
      </c>
    </row>
    <row r="28" spans="2:19" ht="15" x14ac:dyDescent="0.25">
      <c r="B28" s="78" t="s">
        <v>507</v>
      </c>
      <c r="C28" s="351">
        <v>0.75149999999999995</v>
      </c>
      <c r="D28" s="351">
        <v>0.83250000000000002</v>
      </c>
      <c r="E28" s="432" t="str">
        <f t="shared" si="10"/>
        <v>.7515" - .8325"</v>
      </c>
      <c r="F28" s="432"/>
      <c r="G28" s="78" t="s">
        <v>421</v>
      </c>
      <c r="H28" s="78"/>
      <c r="I28" s="525">
        <v>35</v>
      </c>
      <c r="J28" s="525">
        <v>40</v>
      </c>
      <c r="K28" s="543">
        <f t="shared" si="5"/>
        <v>0.14285714285714285</v>
      </c>
      <c r="L28" s="543"/>
      <c r="M28" s="526">
        <f t="shared" si="6"/>
        <v>24.5</v>
      </c>
      <c r="N28" s="526">
        <f t="shared" si="7"/>
        <v>32</v>
      </c>
      <c r="O28" s="543">
        <f t="shared" si="8"/>
        <v>0.30612244897959184</v>
      </c>
      <c r="Q28" s="277" t="s">
        <v>421</v>
      </c>
      <c r="R28" s="301" t="str">
        <f t="shared" si="11"/>
        <v>M55 Insert (.7515" - .8325")</v>
      </c>
      <c r="S28" s="1268">
        <f t="shared" si="9"/>
        <v>40</v>
      </c>
    </row>
    <row r="29" spans="2:19" ht="15" x14ac:dyDescent="0.25">
      <c r="B29" s="78" t="s">
        <v>508</v>
      </c>
      <c r="C29" s="351">
        <v>0.83299999999999996</v>
      </c>
      <c r="D29" s="351">
        <v>0.91600000000000004</v>
      </c>
      <c r="E29" s="432" t="str">
        <f t="shared" si="10"/>
        <v>.833" - .916"</v>
      </c>
      <c r="F29" s="432"/>
      <c r="G29" s="78" t="s">
        <v>422</v>
      </c>
      <c r="H29" s="78"/>
      <c r="I29" s="525">
        <v>35</v>
      </c>
      <c r="J29" s="525">
        <v>40</v>
      </c>
      <c r="K29" s="543">
        <f t="shared" si="5"/>
        <v>0.14285714285714285</v>
      </c>
      <c r="L29" s="543"/>
      <c r="M29" s="526">
        <f t="shared" si="6"/>
        <v>24.5</v>
      </c>
      <c r="N29" s="526">
        <f t="shared" si="7"/>
        <v>32</v>
      </c>
      <c r="O29" s="543">
        <f t="shared" si="8"/>
        <v>0.30612244897959184</v>
      </c>
      <c r="Q29" s="129" t="s">
        <v>422</v>
      </c>
      <c r="R29" s="300" t="str">
        <f t="shared" si="11"/>
        <v>M6 Insert (.833" - .916")</v>
      </c>
      <c r="S29" s="1267">
        <f t="shared" si="9"/>
        <v>40</v>
      </c>
    </row>
    <row r="30" spans="2:19" ht="15" x14ac:dyDescent="0.25">
      <c r="B30" s="78" t="s">
        <v>509</v>
      </c>
      <c r="C30" s="351">
        <v>0.83350000000000002</v>
      </c>
      <c r="D30" s="351">
        <v>0.91649999999999998</v>
      </c>
      <c r="E30" s="432" t="str">
        <f t="shared" si="10"/>
        <v>.8335" - .9165"</v>
      </c>
      <c r="F30" s="432"/>
      <c r="G30" s="78" t="s">
        <v>423</v>
      </c>
      <c r="H30" s="78"/>
      <c r="I30" s="525">
        <v>35</v>
      </c>
      <c r="J30" s="525">
        <v>40</v>
      </c>
      <c r="K30" s="543">
        <f t="shared" si="5"/>
        <v>0.14285714285714285</v>
      </c>
      <c r="L30" s="543"/>
      <c r="M30" s="526">
        <f t="shared" si="6"/>
        <v>24.5</v>
      </c>
      <c r="N30" s="526">
        <f t="shared" si="7"/>
        <v>32</v>
      </c>
      <c r="O30" s="543">
        <f t="shared" si="8"/>
        <v>0.30612244897959184</v>
      </c>
      <c r="Q30" s="277" t="s">
        <v>423</v>
      </c>
      <c r="R30" s="301" t="str">
        <f t="shared" si="11"/>
        <v>M65 Insert (.8335" - .9165")</v>
      </c>
      <c r="S30" s="1268">
        <f t="shared" si="9"/>
        <v>40</v>
      </c>
    </row>
    <row r="31" spans="2:19" ht="15" x14ac:dyDescent="0.25">
      <c r="B31" s="78" t="s">
        <v>510</v>
      </c>
      <c r="C31" s="351">
        <v>0.91700000000000004</v>
      </c>
      <c r="D31" s="351">
        <v>1</v>
      </c>
      <c r="E31" s="432" t="str">
        <f t="shared" si="10"/>
        <v>.917" - 1.000"</v>
      </c>
      <c r="F31" s="432"/>
      <c r="G31" s="78" t="s">
        <v>424</v>
      </c>
      <c r="H31" s="78"/>
      <c r="I31" s="525">
        <v>35</v>
      </c>
      <c r="J31" s="525">
        <v>40</v>
      </c>
      <c r="K31" s="543">
        <f t="shared" si="5"/>
        <v>0.14285714285714285</v>
      </c>
      <c r="L31" s="543"/>
      <c r="M31" s="526">
        <f t="shared" si="6"/>
        <v>24.5</v>
      </c>
      <c r="N31" s="526">
        <f t="shared" si="7"/>
        <v>32</v>
      </c>
      <c r="O31" s="543">
        <f t="shared" si="8"/>
        <v>0.30612244897959184</v>
      </c>
      <c r="Q31" s="129" t="s">
        <v>424</v>
      </c>
      <c r="R31" s="300" t="str">
        <f t="shared" si="11"/>
        <v>M7 Insert (.917" - 1.000")</v>
      </c>
      <c r="S31" s="1267">
        <f t="shared" si="9"/>
        <v>40</v>
      </c>
    </row>
    <row r="32" spans="2:19" thickBot="1" x14ac:dyDescent="0.3">
      <c r="B32" s="78" t="s">
        <v>511</v>
      </c>
      <c r="C32" s="351">
        <v>0.91749999999999998</v>
      </c>
      <c r="D32" s="351">
        <v>1.0004999999999999</v>
      </c>
      <c r="E32" s="432" t="str">
        <f t="shared" si="10"/>
        <v>.9175" - 1.0005"</v>
      </c>
      <c r="F32" s="432"/>
      <c r="G32" s="78" t="s">
        <v>425</v>
      </c>
      <c r="H32" s="78"/>
      <c r="I32" s="525">
        <v>35</v>
      </c>
      <c r="J32" s="525">
        <v>40</v>
      </c>
      <c r="K32" s="543">
        <f t="shared" si="5"/>
        <v>0.14285714285714285</v>
      </c>
      <c r="L32" s="543"/>
      <c r="M32" s="526">
        <f t="shared" si="6"/>
        <v>24.5</v>
      </c>
      <c r="N32" s="526">
        <f t="shared" si="7"/>
        <v>32</v>
      </c>
      <c r="O32" s="543">
        <f t="shared" si="8"/>
        <v>0.30612244897959184</v>
      </c>
      <c r="Q32" s="278" t="s">
        <v>425</v>
      </c>
      <c r="R32" s="302" t="str">
        <f t="shared" si="11"/>
        <v>M75 Insert (.9175" - 1.0005")</v>
      </c>
      <c r="S32" s="1269">
        <f t="shared" si="9"/>
        <v>40</v>
      </c>
    </row>
    <row r="33" spans="2:19" ht="15" x14ac:dyDescent="0.25">
      <c r="C33" s="37"/>
      <c r="D33" s="37"/>
      <c r="G33" s="13"/>
      <c r="H33" s="13"/>
      <c r="K33" s="543"/>
      <c r="L33" s="543"/>
      <c r="Q33" s="34"/>
      <c r="R33" s="34"/>
    </row>
    <row r="34" spans="2:19" thickBot="1" x14ac:dyDescent="0.3">
      <c r="C34" s="37"/>
      <c r="D34" s="37"/>
      <c r="G34" s="13"/>
      <c r="H34" s="13"/>
      <c r="K34" s="543"/>
      <c r="L34" s="543"/>
      <c r="Q34" s="34"/>
      <c r="R34" s="34"/>
    </row>
    <row r="35" spans="2:19" ht="15" x14ac:dyDescent="0.25">
      <c r="C35" s="37"/>
      <c r="D35" s="37"/>
      <c r="G35" s="13"/>
      <c r="H35" s="13"/>
      <c r="K35" s="543"/>
      <c r="L35" s="543"/>
      <c r="Q35" s="592" t="s">
        <v>495</v>
      </c>
      <c r="R35" s="592"/>
      <c r="S35" s="593"/>
    </row>
    <row r="36" spans="2:19" ht="15" x14ac:dyDescent="0.25">
      <c r="C36" s="41" t="s">
        <v>5</v>
      </c>
      <c r="D36" s="41"/>
      <c r="G36" s="13"/>
      <c r="H36" s="13"/>
      <c r="K36" s="543"/>
      <c r="L36" s="543"/>
      <c r="Q36" s="297" t="s">
        <v>9</v>
      </c>
      <c r="R36" s="299" t="s">
        <v>186</v>
      </c>
      <c r="S36" s="298" t="s">
        <v>568</v>
      </c>
    </row>
    <row r="37" spans="2:19" ht="15" x14ac:dyDescent="0.25">
      <c r="B37" s="78" t="s">
        <v>512</v>
      </c>
      <c r="C37" s="6">
        <v>0.22</v>
      </c>
      <c r="D37" s="6">
        <v>1.5</v>
      </c>
      <c r="E37" s="432" t="str">
        <f>_xlfn.CONCAT(TEXT($C37,"#.00")," - ",TEXT($D37,"#.00"),"mm")</f>
        <v>.22 - 1.50mm</v>
      </c>
      <c r="F37" s="432"/>
      <c r="G37" s="78" t="s">
        <v>428</v>
      </c>
      <c r="H37" s="78"/>
      <c r="I37" s="525">
        <v>35</v>
      </c>
      <c r="J37" s="525">
        <v>35</v>
      </c>
      <c r="K37" s="543">
        <f t="shared" ref="K37:K54" si="12">((J37-I37)/I37)</f>
        <v>0</v>
      </c>
      <c r="L37" s="543"/>
      <c r="M37" s="526">
        <f t="shared" ref="M37:M54" si="13">(1-$M$5)*$I37</f>
        <v>24.5</v>
      </c>
      <c r="N37" s="526">
        <f t="shared" ref="N37:N53" si="14">(1-$N$5)*$J37</f>
        <v>28</v>
      </c>
      <c r="O37" s="543">
        <f t="shared" ref="O37:O53" si="15">((N37-M37)/M37)</f>
        <v>0.14285714285714285</v>
      </c>
      <c r="Q37" s="129" t="s">
        <v>428</v>
      </c>
      <c r="R37" s="300" t="str">
        <f t="shared" ref="R37:R54" si="16">_xlfn.CONCAT($B37," Insert (","",$E37,")")</f>
        <v>M0MM Insert (.22 - 1.50mm)</v>
      </c>
      <c r="S37" s="1267">
        <f t="shared" ref="S37:S54" si="17">$J37</f>
        <v>35</v>
      </c>
    </row>
    <row r="38" spans="2:19" ht="15" x14ac:dyDescent="0.25">
      <c r="B38" s="78" t="s">
        <v>513</v>
      </c>
      <c r="C38" s="6">
        <v>0.23</v>
      </c>
      <c r="D38" s="6">
        <v>1.51</v>
      </c>
      <c r="E38" s="432" t="str">
        <f t="shared" ref="E38:E54" si="18">_xlfn.CONCAT(TEXT($C38,"#.00")," - ",TEXT($D38,"#.00"),"mm")</f>
        <v>.23 - 1.51mm</v>
      </c>
      <c r="F38" s="432"/>
      <c r="G38" s="78" t="s">
        <v>429</v>
      </c>
      <c r="H38" s="78"/>
      <c r="I38" s="525">
        <v>35</v>
      </c>
      <c r="J38" s="525">
        <v>35</v>
      </c>
      <c r="K38" s="543">
        <f t="shared" si="12"/>
        <v>0</v>
      </c>
      <c r="L38" s="543"/>
      <c r="M38" s="526">
        <f t="shared" si="13"/>
        <v>24.5</v>
      </c>
      <c r="N38" s="526">
        <f t="shared" si="14"/>
        <v>28</v>
      </c>
      <c r="O38" s="543">
        <f t="shared" si="15"/>
        <v>0.14285714285714285</v>
      </c>
      <c r="Q38" s="277" t="s">
        <v>429</v>
      </c>
      <c r="R38" s="301" t="str">
        <f t="shared" si="16"/>
        <v>M01MM Insert (.23 - 1.51mm)</v>
      </c>
      <c r="S38" s="1268">
        <f t="shared" si="17"/>
        <v>35</v>
      </c>
    </row>
    <row r="39" spans="2:19" ht="15" x14ac:dyDescent="0.25">
      <c r="B39" s="78" t="s">
        <v>514</v>
      </c>
      <c r="C39" s="6">
        <v>1.52</v>
      </c>
      <c r="D39" s="6">
        <v>7.7</v>
      </c>
      <c r="E39" s="432" t="str">
        <f t="shared" si="18"/>
        <v>1.52 - 7.70mm</v>
      </c>
      <c r="F39" s="432"/>
      <c r="G39" s="78" t="s">
        <v>430</v>
      </c>
      <c r="H39" s="78"/>
      <c r="I39" s="525">
        <v>35</v>
      </c>
      <c r="J39" s="525">
        <v>40</v>
      </c>
      <c r="K39" s="543">
        <f t="shared" si="12"/>
        <v>0.14285714285714285</v>
      </c>
      <c r="L39" s="543"/>
      <c r="M39" s="526">
        <f t="shared" si="13"/>
        <v>24.5</v>
      </c>
      <c r="N39" s="526">
        <f t="shared" si="14"/>
        <v>32</v>
      </c>
      <c r="O39" s="543">
        <f t="shared" si="15"/>
        <v>0.30612244897959184</v>
      </c>
      <c r="Q39" s="129" t="s">
        <v>430</v>
      </c>
      <c r="R39" s="300" t="str">
        <f t="shared" si="16"/>
        <v>M1MM Insert (1.52 - 7.70mm)</v>
      </c>
      <c r="S39" s="1267">
        <f t="shared" si="17"/>
        <v>40</v>
      </c>
    </row>
    <row r="40" spans="2:19" ht="15" x14ac:dyDescent="0.25">
      <c r="B40" s="78" t="s">
        <v>515</v>
      </c>
      <c r="C40" s="6">
        <v>1.53</v>
      </c>
      <c r="D40" s="6">
        <v>7.71</v>
      </c>
      <c r="E40" s="432" t="str">
        <f t="shared" si="18"/>
        <v>1.53 - 7.71mm</v>
      </c>
      <c r="F40" s="432"/>
      <c r="G40" s="78" t="s">
        <v>431</v>
      </c>
      <c r="H40" s="78"/>
      <c r="I40" s="525">
        <v>35</v>
      </c>
      <c r="J40" s="525">
        <v>40</v>
      </c>
      <c r="K40" s="543">
        <f t="shared" si="12"/>
        <v>0.14285714285714285</v>
      </c>
      <c r="L40" s="543"/>
      <c r="M40" s="526">
        <f t="shared" si="13"/>
        <v>24.5</v>
      </c>
      <c r="N40" s="526">
        <f t="shared" si="14"/>
        <v>32</v>
      </c>
      <c r="O40" s="543">
        <f t="shared" si="15"/>
        <v>0.30612244897959184</v>
      </c>
      <c r="Q40" s="277" t="s">
        <v>431</v>
      </c>
      <c r="R40" s="301" t="str">
        <f t="shared" si="16"/>
        <v>M11MM Insert (1.53 - 7.71mm)</v>
      </c>
      <c r="S40" s="1268">
        <f t="shared" si="17"/>
        <v>40</v>
      </c>
    </row>
    <row r="41" spans="2:19" ht="15" x14ac:dyDescent="0.25">
      <c r="B41" s="78" t="s">
        <v>516</v>
      </c>
      <c r="C41" s="6">
        <v>7.72</v>
      </c>
      <c r="D41" s="6">
        <v>12.7</v>
      </c>
      <c r="E41" s="432" t="str">
        <f t="shared" si="18"/>
        <v>7.72 - 12.70mm</v>
      </c>
      <c r="F41" s="432"/>
      <c r="G41" s="78" t="s">
        <v>432</v>
      </c>
      <c r="H41" s="78"/>
      <c r="I41" s="525">
        <v>35</v>
      </c>
      <c r="J41" s="525">
        <v>40</v>
      </c>
      <c r="K41" s="543">
        <f t="shared" si="12"/>
        <v>0.14285714285714285</v>
      </c>
      <c r="L41" s="543"/>
      <c r="M41" s="526">
        <f t="shared" si="13"/>
        <v>24.5</v>
      </c>
      <c r="N41" s="526">
        <f t="shared" si="14"/>
        <v>32</v>
      </c>
      <c r="O41" s="543">
        <f t="shared" si="15"/>
        <v>0.30612244897959184</v>
      </c>
      <c r="Q41" s="129" t="s">
        <v>432</v>
      </c>
      <c r="R41" s="300" t="str">
        <f t="shared" si="16"/>
        <v>M2MM Insert (7.72 - 12.70mm)</v>
      </c>
      <c r="S41" s="1267">
        <f t="shared" si="17"/>
        <v>40</v>
      </c>
    </row>
    <row r="42" spans="2:19" ht="15" x14ac:dyDescent="0.25">
      <c r="B42" s="78" t="s">
        <v>517</v>
      </c>
      <c r="C42" s="6">
        <v>7.73</v>
      </c>
      <c r="D42" s="6">
        <v>12.71</v>
      </c>
      <c r="E42" s="432" t="str">
        <f t="shared" si="18"/>
        <v>7.73 - 12.71mm</v>
      </c>
      <c r="F42" s="432"/>
      <c r="G42" s="78" t="s">
        <v>433</v>
      </c>
      <c r="H42" s="78"/>
      <c r="I42" s="525">
        <v>35</v>
      </c>
      <c r="J42" s="525">
        <v>40</v>
      </c>
      <c r="K42" s="543">
        <f t="shared" si="12"/>
        <v>0.14285714285714285</v>
      </c>
      <c r="L42" s="543"/>
      <c r="M42" s="526">
        <f t="shared" si="13"/>
        <v>24.5</v>
      </c>
      <c r="N42" s="526">
        <f t="shared" si="14"/>
        <v>32</v>
      </c>
      <c r="O42" s="543">
        <f t="shared" si="15"/>
        <v>0.30612244897959184</v>
      </c>
      <c r="Q42" s="277" t="s">
        <v>433</v>
      </c>
      <c r="R42" s="301" t="str">
        <f t="shared" si="16"/>
        <v>M21MM Insert (7.73 - 12.71mm)</v>
      </c>
      <c r="S42" s="1268">
        <f t="shared" si="17"/>
        <v>40</v>
      </c>
    </row>
    <row r="43" spans="2:19" ht="15" x14ac:dyDescent="0.25">
      <c r="B43" s="78" t="s">
        <v>518</v>
      </c>
      <c r="C43" s="6">
        <v>12.72</v>
      </c>
      <c r="D43" s="6">
        <v>15.3</v>
      </c>
      <c r="E43" s="432" t="str">
        <f t="shared" si="18"/>
        <v>12.72 - 15.30mm</v>
      </c>
      <c r="F43" s="432"/>
      <c r="G43" s="78" t="s">
        <v>434</v>
      </c>
      <c r="H43" s="78"/>
      <c r="I43" s="525">
        <v>35</v>
      </c>
      <c r="J43" s="525">
        <v>40</v>
      </c>
      <c r="K43" s="543">
        <f t="shared" si="12"/>
        <v>0.14285714285714285</v>
      </c>
      <c r="L43" s="543"/>
      <c r="M43" s="526">
        <f t="shared" si="13"/>
        <v>24.5</v>
      </c>
      <c r="N43" s="526">
        <f t="shared" si="14"/>
        <v>32</v>
      </c>
      <c r="O43" s="543">
        <f t="shared" si="15"/>
        <v>0.30612244897959184</v>
      </c>
      <c r="Q43" s="129" t="s">
        <v>434</v>
      </c>
      <c r="R43" s="300" t="str">
        <f t="shared" si="16"/>
        <v>M3MM Insert (12.72 - 15.30mm)</v>
      </c>
      <c r="S43" s="1267">
        <f t="shared" si="17"/>
        <v>40</v>
      </c>
    </row>
    <row r="44" spans="2:19" ht="15" x14ac:dyDescent="0.25">
      <c r="B44" s="78" t="s">
        <v>519</v>
      </c>
      <c r="C44" s="6">
        <v>12.73</v>
      </c>
      <c r="D44" s="6">
        <v>15.31</v>
      </c>
      <c r="E44" s="432" t="str">
        <f t="shared" si="18"/>
        <v>12.73 - 15.31mm</v>
      </c>
      <c r="F44" s="432"/>
      <c r="G44" s="78" t="s">
        <v>435</v>
      </c>
      <c r="H44" s="78"/>
      <c r="I44" s="525">
        <v>35</v>
      </c>
      <c r="J44" s="525">
        <v>40</v>
      </c>
      <c r="K44" s="543">
        <f t="shared" si="12"/>
        <v>0.14285714285714285</v>
      </c>
      <c r="L44" s="543"/>
      <c r="M44" s="526">
        <f t="shared" si="13"/>
        <v>24.5</v>
      </c>
      <c r="N44" s="526">
        <f t="shared" si="14"/>
        <v>32</v>
      </c>
      <c r="O44" s="543">
        <f t="shared" si="15"/>
        <v>0.30612244897959184</v>
      </c>
      <c r="Q44" s="277" t="s">
        <v>435</v>
      </c>
      <c r="R44" s="301" t="str">
        <f t="shared" si="16"/>
        <v>M31MM Insert (12.73 - 15.31mm)</v>
      </c>
      <c r="S44" s="1268">
        <f t="shared" si="17"/>
        <v>40</v>
      </c>
    </row>
    <row r="45" spans="2:19" ht="15" x14ac:dyDescent="0.25">
      <c r="B45" s="78" t="s">
        <v>520</v>
      </c>
      <c r="C45" s="6">
        <v>15.32</v>
      </c>
      <c r="D45" s="6">
        <v>17.8</v>
      </c>
      <c r="E45" s="432" t="str">
        <f t="shared" si="18"/>
        <v>15.32 - 17.80mm</v>
      </c>
      <c r="F45" s="432"/>
      <c r="G45" s="78" t="s">
        <v>436</v>
      </c>
      <c r="H45" s="78"/>
      <c r="I45" s="525">
        <v>35</v>
      </c>
      <c r="J45" s="525">
        <v>40</v>
      </c>
      <c r="K45" s="543">
        <f t="shared" si="12"/>
        <v>0.14285714285714285</v>
      </c>
      <c r="L45" s="543"/>
      <c r="M45" s="526">
        <f t="shared" si="13"/>
        <v>24.5</v>
      </c>
      <c r="N45" s="526">
        <f t="shared" si="14"/>
        <v>32</v>
      </c>
      <c r="O45" s="543">
        <f t="shared" si="15"/>
        <v>0.30612244897959184</v>
      </c>
      <c r="Q45" s="129" t="s">
        <v>436</v>
      </c>
      <c r="R45" s="300" t="str">
        <f t="shared" si="16"/>
        <v>M4MM Insert (15.32 - 17.80mm)</v>
      </c>
      <c r="S45" s="1267">
        <f t="shared" si="17"/>
        <v>40</v>
      </c>
    </row>
    <row r="46" spans="2:19" ht="15" x14ac:dyDescent="0.25">
      <c r="B46" s="78" t="s">
        <v>521</v>
      </c>
      <c r="C46" s="6">
        <v>15.33</v>
      </c>
      <c r="D46" s="6">
        <v>17.809999999999999</v>
      </c>
      <c r="E46" s="432" t="str">
        <f t="shared" si="18"/>
        <v>15.33 - 17.81mm</v>
      </c>
      <c r="F46" s="432"/>
      <c r="G46" s="78" t="s">
        <v>437</v>
      </c>
      <c r="H46" s="78"/>
      <c r="I46" s="525">
        <v>35</v>
      </c>
      <c r="J46" s="525">
        <v>40</v>
      </c>
      <c r="K46" s="543">
        <f t="shared" si="12"/>
        <v>0.14285714285714285</v>
      </c>
      <c r="L46" s="543"/>
      <c r="M46" s="526">
        <f t="shared" si="13"/>
        <v>24.5</v>
      </c>
      <c r="N46" s="526">
        <f t="shared" si="14"/>
        <v>32</v>
      </c>
      <c r="O46" s="543">
        <f t="shared" si="15"/>
        <v>0.30612244897959184</v>
      </c>
      <c r="Q46" s="277" t="s">
        <v>437</v>
      </c>
      <c r="R46" s="301" t="str">
        <f t="shared" si="16"/>
        <v>M41MM Insert (15.33 - 17.81mm)</v>
      </c>
      <c r="S46" s="1268">
        <f t="shared" si="17"/>
        <v>40</v>
      </c>
    </row>
    <row r="47" spans="2:19" ht="15" x14ac:dyDescent="0.25">
      <c r="B47" s="78" t="s">
        <v>522</v>
      </c>
      <c r="C47" s="6">
        <v>17.82</v>
      </c>
      <c r="D47" s="6">
        <v>20.36</v>
      </c>
      <c r="E47" s="432" t="str">
        <f t="shared" si="18"/>
        <v>17.82 - 20.36mm</v>
      </c>
      <c r="F47" s="432"/>
      <c r="G47" s="78" t="s">
        <v>438</v>
      </c>
      <c r="H47" s="78"/>
      <c r="I47" s="525">
        <v>35</v>
      </c>
      <c r="J47" s="525">
        <v>40</v>
      </c>
      <c r="K47" s="543">
        <f t="shared" si="12"/>
        <v>0.14285714285714285</v>
      </c>
      <c r="L47" s="543"/>
      <c r="M47" s="526">
        <f t="shared" si="13"/>
        <v>24.5</v>
      </c>
      <c r="N47" s="526">
        <f t="shared" si="14"/>
        <v>32</v>
      </c>
      <c r="O47" s="543">
        <f t="shared" si="15"/>
        <v>0.30612244897959184</v>
      </c>
      <c r="Q47" s="129" t="s">
        <v>438</v>
      </c>
      <c r="R47" s="300" t="str">
        <f t="shared" si="16"/>
        <v>M5MM Insert (17.82 - 20.36mm)</v>
      </c>
      <c r="S47" s="1267">
        <f t="shared" si="17"/>
        <v>40</v>
      </c>
    </row>
    <row r="48" spans="2:19" ht="15" x14ac:dyDescent="0.25">
      <c r="B48" s="78" t="s">
        <v>523</v>
      </c>
      <c r="C48" s="6">
        <v>17.829999999999998</v>
      </c>
      <c r="D48" s="6">
        <v>20.37</v>
      </c>
      <c r="E48" s="432" t="str">
        <f t="shared" si="18"/>
        <v>17.83 - 20.37mm</v>
      </c>
      <c r="F48" s="432"/>
      <c r="G48" s="78" t="s">
        <v>439</v>
      </c>
      <c r="H48" s="78"/>
      <c r="I48" s="525">
        <v>35</v>
      </c>
      <c r="J48" s="525">
        <v>40</v>
      </c>
      <c r="K48" s="543">
        <f t="shared" si="12"/>
        <v>0.14285714285714285</v>
      </c>
      <c r="L48" s="543"/>
      <c r="M48" s="526">
        <f t="shared" si="13"/>
        <v>24.5</v>
      </c>
      <c r="N48" s="526">
        <f t="shared" si="14"/>
        <v>32</v>
      </c>
      <c r="O48" s="543">
        <f t="shared" si="15"/>
        <v>0.30612244897959184</v>
      </c>
      <c r="Q48" s="277" t="s">
        <v>439</v>
      </c>
      <c r="R48" s="301" t="str">
        <f t="shared" si="16"/>
        <v>M51MM Insert (17.83 - 20.37mm)</v>
      </c>
      <c r="S48" s="1268">
        <f t="shared" si="17"/>
        <v>40</v>
      </c>
    </row>
    <row r="49" spans="2:19" ht="15" x14ac:dyDescent="0.25">
      <c r="B49" s="78" t="s">
        <v>524</v>
      </c>
      <c r="C49" s="6">
        <v>20.38</v>
      </c>
      <c r="D49" s="6">
        <v>22.04</v>
      </c>
      <c r="E49" s="432" t="str">
        <f t="shared" si="18"/>
        <v>20.38 - 22.04mm</v>
      </c>
      <c r="F49" s="432"/>
      <c r="G49" s="78" t="s">
        <v>440</v>
      </c>
      <c r="H49" s="78"/>
      <c r="I49" s="525">
        <v>35</v>
      </c>
      <c r="J49" s="525">
        <v>40</v>
      </c>
      <c r="K49" s="543">
        <f t="shared" si="12"/>
        <v>0.14285714285714285</v>
      </c>
      <c r="L49" s="543"/>
      <c r="M49" s="526">
        <f t="shared" si="13"/>
        <v>24.5</v>
      </c>
      <c r="N49" s="526">
        <f t="shared" si="14"/>
        <v>32</v>
      </c>
      <c r="O49" s="543">
        <f t="shared" si="15"/>
        <v>0.30612244897959184</v>
      </c>
      <c r="Q49" s="129" t="s">
        <v>440</v>
      </c>
      <c r="R49" s="300" t="str">
        <f t="shared" si="16"/>
        <v>M6MM Insert (20.38 - 22.04mm)</v>
      </c>
      <c r="S49" s="1267">
        <f t="shared" si="17"/>
        <v>40</v>
      </c>
    </row>
    <row r="50" spans="2:19" ht="15" x14ac:dyDescent="0.25">
      <c r="B50" s="78" t="s">
        <v>525</v>
      </c>
      <c r="C50" s="6">
        <v>20.39</v>
      </c>
      <c r="D50" s="6">
        <v>22.05</v>
      </c>
      <c r="E50" s="432" t="str">
        <f t="shared" si="18"/>
        <v>20.39 - 22.05mm</v>
      </c>
      <c r="F50" s="432"/>
      <c r="G50" s="78" t="s">
        <v>441</v>
      </c>
      <c r="H50" s="78"/>
      <c r="I50" s="525">
        <v>35</v>
      </c>
      <c r="J50" s="525">
        <v>40</v>
      </c>
      <c r="K50" s="543">
        <f t="shared" si="12"/>
        <v>0.14285714285714285</v>
      </c>
      <c r="L50" s="543"/>
      <c r="M50" s="526">
        <f t="shared" si="13"/>
        <v>24.5</v>
      </c>
      <c r="N50" s="526">
        <f t="shared" si="14"/>
        <v>32</v>
      </c>
      <c r="O50" s="543">
        <f t="shared" si="15"/>
        <v>0.30612244897959184</v>
      </c>
      <c r="Q50" s="277" t="s">
        <v>441</v>
      </c>
      <c r="R50" s="301" t="str">
        <f t="shared" si="16"/>
        <v>M61MM Insert (20.39 - 22.05mm)</v>
      </c>
      <c r="S50" s="1268">
        <f t="shared" si="17"/>
        <v>40</v>
      </c>
    </row>
    <row r="51" spans="2:19" ht="15" x14ac:dyDescent="0.25">
      <c r="B51" s="78" t="s">
        <v>526</v>
      </c>
      <c r="C51" s="6">
        <v>22.06</v>
      </c>
      <c r="D51" s="6">
        <v>23.72</v>
      </c>
      <c r="E51" s="432" t="str">
        <f t="shared" si="18"/>
        <v>22.06 - 23.72mm</v>
      </c>
      <c r="F51" s="432"/>
      <c r="G51" s="78" t="s">
        <v>442</v>
      </c>
      <c r="H51" s="78"/>
      <c r="I51" s="525">
        <v>35</v>
      </c>
      <c r="J51" s="525">
        <v>40</v>
      </c>
      <c r="K51" s="543">
        <f t="shared" si="12"/>
        <v>0.14285714285714285</v>
      </c>
      <c r="L51" s="543"/>
      <c r="M51" s="526">
        <f t="shared" si="13"/>
        <v>24.5</v>
      </c>
      <c r="N51" s="526">
        <f t="shared" si="14"/>
        <v>32</v>
      </c>
      <c r="O51" s="543">
        <f t="shared" si="15"/>
        <v>0.30612244897959184</v>
      </c>
      <c r="Q51" s="129" t="s">
        <v>442</v>
      </c>
      <c r="R51" s="300" t="str">
        <f t="shared" si="16"/>
        <v>M7MM Insert (22.06 - 23.72mm)</v>
      </c>
      <c r="S51" s="1267">
        <f t="shared" si="17"/>
        <v>40</v>
      </c>
    </row>
    <row r="52" spans="2:19" ht="15" x14ac:dyDescent="0.25">
      <c r="B52" s="78" t="s">
        <v>527</v>
      </c>
      <c r="C52" s="6">
        <v>22.07</v>
      </c>
      <c r="D52" s="6">
        <v>23.73</v>
      </c>
      <c r="E52" s="432" t="str">
        <f t="shared" si="18"/>
        <v>22.07 - 23.73mm</v>
      </c>
      <c r="F52" s="432"/>
      <c r="G52" s="78" t="s">
        <v>443</v>
      </c>
      <c r="H52" s="78"/>
      <c r="I52" s="525">
        <v>35</v>
      </c>
      <c r="J52" s="525">
        <v>40</v>
      </c>
      <c r="K52" s="543">
        <f t="shared" si="12"/>
        <v>0.14285714285714285</v>
      </c>
      <c r="L52" s="543"/>
      <c r="M52" s="526">
        <f t="shared" si="13"/>
        <v>24.5</v>
      </c>
      <c r="N52" s="526">
        <f t="shared" si="14"/>
        <v>32</v>
      </c>
      <c r="O52" s="543">
        <f t="shared" si="15"/>
        <v>0.30612244897959184</v>
      </c>
      <c r="Q52" s="277" t="s">
        <v>443</v>
      </c>
      <c r="R52" s="301" t="str">
        <f t="shared" si="16"/>
        <v>M71MM Insert (22.07 - 23.73mm)</v>
      </c>
      <c r="S52" s="1268">
        <f t="shared" si="17"/>
        <v>40</v>
      </c>
    </row>
    <row r="53" spans="2:19" ht="15" x14ac:dyDescent="0.25">
      <c r="B53" s="78" t="s">
        <v>528</v>
      </c>
      <c r="C53" s="6">
        <v>23.74</v>
      </c>
      <c r="D53" s="6">
        <v>25.4</v>
      </c>
      <c r="E53" s="432" t="str">
        <f t="shared" si="18"/>
        <v>23.74 - 25.40mm</v>
      </c>
      <c r="F53" s="432"/>
      <c r="G53" s="78" t="s">
        <v>444</v>
      </c>
      <c r="H53" s="78"/>
      <c r="I53" s="525">
        <v>35</v>
      </c>
      <c r="J53" s="525">
        <v>40</v>
      </c>
      <c r="K53" s="543">
        <f t="shared" si="12"/>
        <v>0.14285714285714285</v>
      </c>
      <c r="L53" s="543"/>
      <c r="M53" s="526">
        <f t="shared" si="13"/>
        <v>24.5</v>
      </c>
      <c r="N53" s="526">
        <f t="shared" si="14"/>
        <v>32</v>
      </c>
      <c r="O53" s="543">
        <f t="shared" si="15"/>
        <v>0.30612244897959184</v>
      </c>
      <c r="Q53" s="129" t="s">
        <v>444</v>
      </c>
      <c r="R53" s="300" t="str">
        <f t="shared" si="16"/>
        <v>M8MM Insert (23.74 - 25.40mm)</v>
      </c>
      <c r="S53" s="1267">
        <f t="shared" si="17"/>
        <v>40</v>
      </c>
    </row>
    <row r="54" spans="2:19" thickBot="1" x14ac:dyDescent="0.3">
      <c r="B54" s="78" t="s">
        <v>529</v>
      </c>
      <c r="C54" s="6">
        <v>23.75</v>
      </c>
      <c r="D54" s="6">
        <v>25.41</v>
      </c>
      <c r="E54" s="432" t="str">
        <f t="shared" si="18"/>
        <v>23.75 - 25.41mm</v>
      </c>
      <c r="F54" s="432"/>
      <c r="G54" s="78" t="s">
        <v>445</v>
      </c>
      <c r="H54" s="78"/>
      <c r="I54" s="525">
        <v>35</v>
      </c>
      <c r="J54" s="525">
        <v>40</v>
      </c>
      <c r="K54" s="543">
        <f t="shared" si="12"/>
        <v>0.14285714285714285</v>
      </c>
      <c r="L54" s="543"/>
      <c r="M54" s="526">
        <f t="shared" si="13"/>
        <v>24.5</v>
      </c>
      <c r="N54" s="526">
        <f>(1-$N$5)*$J54</f>
        <v>32</v>
      </c>
      <c r="O54" s="543">
        <f>((N54-M54)/M54)</f>
        <v>0.30612244897959184</v>
      </c>
      <c r="Q54" s="278" t="s">
        <v>445</v>
      </c>
      <c r="R54" s="302" t="str">
        <f t="shared" si="16"/>
        <v>M81MM Insert (23.75 - 25.41mm)</v>
      </c>
      <c r="S54" s="1269">
        <f t="shared" si="17"/>
        <v>40</v>
      </c>
    </row>
    <row r="55" spans="2:19" ht="15" x14ac:dyDescent="0.25">
      <c r="G55" s="13"/>
      <c r="H55" s="13"/>
      <c r="K55" s="543"/>
      <c r="L55" s="543"/>
      <c r="Q55" s="34"/>
      <c r="R55" s="34"/>
    </row>
    <row r="56" spans="2:19" ht="15" x14ac:dyDescent="0.25">
      <c r="K56" s="543"/>
      <c r="L56" s="543"/>
      <c r="Q56"/>
      <c r="R56"/>
    </row>
    <row r="57" spans="2:19" ht="15" x14ac:dyDescent="0.25">
      <c r="K57" s="543"/>
      <c r="L57" s="543"/>
      <c r="Q57"/>
      <c r="R57"/>
    </row>
    <row r="58" spans="2:19" ht="15" x14ac:dyDescent="0.25">
      <c r="K58" s="543"/>
      <c r="L58" s="543"/>
      <c r="Q58"/>
      <c r="R58"/>
    </row>
    <row r="59" spans="2:19" ht="15" x14ac:dyDescent="0.25">
      <c r="K59" s="543"/>
      <c r="L59" s="543"/>
      <c r="Q59"/>
      <c r="R59"/>
    </row>
    <row r="60" spans="2:19" ht="15" x14ac:dyDescent="0.25">
      <c r="K60" s="543"/>
      <c r="L60" s="543"/>
      <c r="Q60"/>
      <c r="R60"/>
    </row>
    <row r="61" spans="2:19" ht="15" x14ac:dyDescent="0.25">
      <c r="K61" s="543"/>
      <c r="L61" s="543"/>
      <c r="Q61"/>
      <c r="R61"/>
    </row>
    <row r="62" spans="2:19" ht="15" x14ac:dyDescent="0.25">
      <c r="K62" s="543"/>
      <c r="L62" s="543"/>
      <c r="Q62"/>
      <c r="R62"/>
    </row>
    <row r="63" spans="2:19" ht="15" x14ac:dyDescent="0.25">
      <c r="K63" s="543"/>
      <c r="L63" s="543"/>
      <c r="Q63"/>
      <c r="R63"/>
    </row>
    <row r="64" spans="2:19" ht="15" x14ac:dyDescent="0.25">
      <c r="K64" s="543"/>
      <c r="L64" s="543"/>
      <c r="Q64"/>
      <c r="R64"/>
    </row>
    <row r="65" spans="11:18" ht="15" x14ac:dyDescent="0.25">
      <c r="K65" s="543"/>
      <c r="L65" s="543"/>
      <c r="Q65"/>
      <c r="R65"/>
    </row>
    <row r="66" spans="11:18" ht="15" x14ac:dyDescent="0.25">
      <c r="K66" s="543"/>
      <c r="L66" s="543"/>
      <c r="Q66"/>
      <c r="R66"/>
    </row>
    <row r="67" spans="11:18" ht="15" x14ac:dyDescent="0.25">
      <c r="K67" s="543"/>
      <c r="L67" s="543"/>
      <c r="Q67"/>
      <c r="R67"/>
    </row>
    <row r="68" spans="11:18" ht="15" x14ac:dyDescent="0.25">
      <c r="K68" s="543"/>
      <c r="L68" s="543"/>
      <c r="Q68"/>
      <c r="R68"/>
    </row>
    <row r="69" spans="11:18" ht="15" x14ac:dyDescent="0.25">
      <c r="Q69"/>
      <c r="R69"/>
    </row>
    <row r="70" spans="11:18" ht="15" x14ac:dyDescent="0.25">
      <c r="Q70"/>
      <c r="R70"/>
    </row>
  </sheetData>
  <sheetProtection algorithmName="SHA-512" hashValue="SqXrwnORlRBq5NtCqt8aMpxKflY5CCNy3iZSO8YX5egcn8a37v1Qdy8tpptUx6u9jM5tqcJmaGz7MAA/t2pZKw==" saltValue="SMCtfFAvQQLX3M5ovS3/VA==" spinCount="100000" sheet="1" objects="1" scenarios="1"/>
  <conditionalFormatting sqref="Q5">
    <cfRule type="expression" dxfId="7" priority="1">
      <formula>#REF!="y"</formula>
    </cfRule>
  </conditionalFormatting>
  <conditionalFormatting sqref="Q15">
    <cfRule type="expression" dxfId="6" priority="14">
      <formula>#REF!="y"</formula>
    </cfRule>
  </conditionalFormatting>
  <conditionalFormatting sqref="Q35">
    <cfRule type="expression" dxfId="5" priority="4">
      <formula>#REF!="y"</formula>
    </cfRule>
  </conditionalFormatting>
  <pageMargins left="0.25" right="0.25" top="0.75" bottom="0.75" header="0.3" footer="0.3"/>
  <pageSetup scale="8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75CF9-96D6-4421-9E94-660980254709}">
  <sheetPr codeName="Sheet26">
    <outlinePr summaryBelow="0"/>
    <pageSetUpPr fitToPage="1"/>
  </sheetPr>
  <dimension ref="A1:V56"/>
  <sheetViews>
    <sheetView showGridLines="0" zoomScale="90" zoomScaleNormal="90" workbookViewId="0">
      <selection activeCell="P62" sqref="P62"/>
    </sheetView>
  </sheetViews>
  <sheetFormatPr defaultRowHeight="15" outlineLevelRow="1" outlineLevelCol="1" x14ac:dyDescent="0.25"/>
  <cols>
    <col min="1" max="1" width="2.7109375" customWidth="1"/>
    <col min="2" max="6" width="8.85546875" hidden="1" customWidth="1" outlineLevel="1"/>
    <col min="7" max="7" width="1.7109375" hidden="1" customWidth="1" outlineLevel="1"/>
    <col min="8" max="8" width="15.28515625" style="3" hidden="1" customWidth="1" outlineLevel="1"/>
    <col min="9" max="9" width="12.42578125" hidden="1" customWidth="1" outlineLevel="1"/>
    <col min="10" max="10" width="1.7109375" hidden="1" customWidth="1" outlineLevel="1"/>
    <col min="11" max="11" width="15.7109375" hidden="1" customWidth="1" outlineLevel="1"/>
    <col min="12" max="12" width="14.42578125" hidden="1" customWidth="1" outlineLevel="1"/>
    <col min="13" max="13" width="1.7109375" hidden="1" customWidth="1" outlineLevel="1"/>
    <col min="14" max="14" width="8.85546875" hidden="1" customWidth="1" outlineLevel="1"/>
    <col min="15" max="15" width="1.7109375" hidden="1" customWidth="1" outlineLevel="1"/>
    <col min="16" max="16" width="17.28515625" customWidth="1" collapsed="1"/>
    <col min="17" max="18" width="19.7109375" customWidth="1"/>
    <col min="19" max="20" width="16.42578125" customWidth="1"/>
    <col min="21" max="21" width="14.42578125" customWidth="1"/>
    <col min="24" max="24" width="21.140625" customWidth="1"/>
  </cols>
  <sheetData>
    <row r="1" spans="2:19" ht="9.9499999999999993" customHeight="1" x14ac:dyDescent="0.25"/>
    <row r="2" spans="2:19" ht="21" x14ac:dyDescent="0.35">
      <c r="B2" s="14" t="s">
        <v>470</v>
      </c>
      <c r="D2" s="39"/>
      <c r="P2" s="1" t="s">
        <v>932</v>
      </c>
    </row>
    <row r="4" spans="2:19" ht="15.75" thickBot="1" x14ac:dyDescent="0.3">
      <c r="B4" s="574" t="s">
        <v>859</v>
      </c>
      <c r="C4" s="574" t="s">
        <v>860</v>
      </c>
    </row>
    <row r="5" spans="2:19" x14ac:dyDescent="0.25">
      <c r="B5" s="2">
        <v>280</v>
      </c>
      <c r="C5" s="2" t="s">
        <v>408</v>
      </c>
      <c r="P5" s="592" t="s">
        <v>417</v>
      </c>
      <c r="Q5" s="592"/>
      <c r="R5" s="592"/>
      <c r="S5" s="593"/>
    </row>
    <row r="6" spans="2:19" ht="17.25" x14ac:dyDescent="0.4">
      <c r="P6" s="1334" t="s">
        <v>9</v>
      </c>
      <c r="Q6" s="443" t="s">
        <v>124</v>
      </c>
      <c r="R6" s="16"/>
      <c r="S6" s="1332" t="s">
        <v>568</v>
      </c>
    </row>
    <row r="7" spans="2:19" x14ac:dyDescent="0.25">
      <c r="F7">
        <v>25.4</v>
      </c>
      <c r="P7" s="1335"/>
      <c r="Q7" s="221" t="s">
        <v>4</v>
      </c>
      <c r="R7" s="1230" t="s">
        <v>5</v>
      </c>
      <c r="S7" s="1333"/>
    </row>
    <row r="8" spans="2:19" ht="15.95" customHeight="1" x14ac:dyDescent="0.25">
      <c r="B8" s="351">
        <v>1.5599999999999999E-2</v>
      </c>
      <c r="C8" s="351">
        <v>0.375</v>
      </c>
      <c r="D8" s="3"/>
      <c r="E8" s="352">
        <v>0.39600000000000002</v>
      </c>
      <c r="F8" s="352">
        <f>C8*$F$7</f>
        <v>9.5249999999999986</v>
      </c>
      <c r="H8" s="13" t="s">
        <v>473</v>
      </c>
      <c r="I8" s="585">
        <v>25</v>
      </c>
      <c r="P8" s="673" t="s">
        <v>473</v>
      </c>
      <c r="Q8" s="876" t="str">
        <f>_xlfn.CONCAT(TEXT($B8,"#.0000"),"""",$B$2,TEXT($C8,"#.0000"),"""")</f>
        <v>.0156" - .3750"</v>
      </c>
      <c r="R8" s="634" t="str">
        <f>_xlfn.CONCAT(TEXT($E8,"#.00"),$B$2,TEXT($F8,"0.00"),"mm")</f>
        <v>.40 - 9.53mm</v>
      </c>
      <c r="S8" s="190">
        <v>25</v>
      </c>
    </row>
    <row r="9" spans="2:19" ht="15.95" customHeight="1" thickBot="1" x14ac:dyDescent="0.3">
      <c r="B9" s="351">
        <v>0.37509999999999999</v>
      </c>
      <c r="C9" s="351">
        <v>0.875</v>
      </c>
      <c r="D9" s="3"/>
      <c r="E9" s="352">
        <f>F8+0.01</f>
        <v>9.5349999999999984</v>
      </c>
      <c r="F9" s="352">
        <f>C9*$F$7</f>
        <v>22.224999999999998</v>
      </c>
      <c r="H9" s="13" t="s">
        <v>474</v>
      </c>
      <c r="I9" s="585">
        <v>30</v>
      </c>
      <c r="P9" s="679" t="s">
        <v>474</v>
      </c>
      <c r="Q9" s="246" t="str">
        <f>_xlfn.CONCAT(TEXT($B9,"#.0000"),"""",$B$2,TEXT($C9,"#.0000"),"""")</f>
        <v>.3751" - .8750"</v>
      </c>
      <c r="R9" s="680" t="str">
        <f>_xlfn.CONCAT(TEXT($E9,"#.00"),$B$2,TEXT($F9,"0.00"),"mm")</f>
        <v>9.54 - 22.23mm</v>
      </c>
      <c r="S9" s="926">
        <v>30</v>
      </c>
    </row>
    <row r="12" spans="2:19" ht="9.9499999999999993" customHeight="1" thickBot="1" x14ac:dyDescent="0.3"/>
    <row r="13" spans="2:19" x14ac:dyDescent="0.25">
      <c r="P13" s="592" t="s">
        <v>447</v>
      </c>
      <c r="Q13" s="592"/>
      <c r="R13" s="592"/>
      <c r="S13" s="593"/>
    </row>
    <row r="14" spans="2:19" ht="17.25" x14ac:dyDescent="0.4">
      <c r="B14" s="21" t="s">
        <v>866</v>
      </c>
      <c r="C14" s="3"/>
      <c r="E14" s="21" t="s">
        <v>625</v>
      </c>
      <c r="F14" s="5"/>
      <c r="G14" s="5"/>
      <c r="H14" s="5"/>
      <c r="I14" s="5"/>
      <c r="J14" s="5"/>
      <c r="K14" s="5"/>
      <c r="N14" s="5"/>
      <c r="P14" s="1326" t="s">
        <v>397</v>
      </c>
      <c r="Q14" s="435" t="s">
        <v>3</v>
      </c>
      <c r="R14" s="16"/>
      <c r="S14" s="1332" t="s">
        <v>568</v>
      </c>
    </row>
    <row r="15" spans="2:19" x14ac:dyDescent="0.25">
      <c r="B15" s="20" t="s">
        <v>6</v>
      </c>
      <c r="C15" s="19"/>
      <c r="E15" s="20" t="s">
        <v>7</v>
      </c>
      <c r="F15" s="19"/>
      <c r="G15" s="5"/>
      <c r="H15" s="38" t="s">
        <v>9</v>
      </c>
      <c r="I15" s="5"/>
      <c r="J15" s="5"/>
      <c r="K15" s="623"/>
      <c r="L15" s="623"/>
      <c r="N15" s="5"/>
      <c r="P15" s="1327"/>
      <c r="Q15" s="578" t="s">
        <v>4</v>
      </c>
      <c r="R15" s="276" t="s">
        <v>5</v>
      </c>
      <c r="S15" s="1333"/>
    </row>
    <row r="16" spans="2:19" ht="15.95" customHeight="1" x14ac:dyDescent="0.25">
      <c r="B16" s="581">
        <v>0.23100000000000001</v>
      </c>
      <c r="C16" s="351">
        <v>0.36499999999999999</v>
      </c>
      <c r="E16" s="582">
        <v>5.85</v>
      </c>
      <c r="F16" s="352">
        <v>9.27</v>
      </c>
      <c r="G16" s="6"/>
      <c r="H16" s="3" t="s">
        <v>448</v>
      </c>
      <c r="I16" s="585">
        <v>18</v>
      </c>
      <c r="J16" s="585"/>
      <c r="K16" s="623"/>
      <c r="L16" s="623"/>
      <c r="N16" s="6"/>
      <c r="P16" s="228">
        <v>1</v>
      </c>
      <c r="Q16" s="11" t="str">
        <f>_xlfn.CONCAT(TEXT($B16,"#.000"),"""",$B$2,TEXT($C16,"#.000"),"""")</f>
        <v>.231" - .365"</v>
      </c>
      <c r="R16" s="152" t="str">
        <f>_xlfn.CONCAT(TEXT($E16,"0.00"),$B$2,TEXT($F16,"0.00"),"mm")</f>
        <v>5.85 - 9.27mm</v>
      </c>
      <c r="S16" s="817">
        <v>18</v>
      </c>
    </row>
    <row r="17" spans="2:20" ht="15.95" customHeight="1" x14ac:dyDescent="0.25">
      <c r="B17" s="351">
        <v>0.36599999999999999</v>
      </c>
      <c r="C17" s="351">
        <v>0.51</v>
      </c>
      <c r="E17" s="352">
        <v>9.2799999999999994</v>
      </c>
      <c r="F17" s="352">
        <v>12.95</v>
      </c>
      <c r="G17" s="6"/>
      <c r="H17" s="3" t="s">
        <v>449</v>
      </c>
      <c r="I17" s="585">
        <v>19</v>
      </c>
      <c r="J17" s="585"/>
      <c r="K17" s="623"/>
      <c r="L17" s="623"/>
      <c r="N17" s="6"/>
      <c r="P17" s="821">
        <v>2</v>
      </c>
      <c r="Q17" s="822" t="str">
        <f>_xlfn.CONCAT(TEXT($B17,"#.000"),"""",$B$2,TEXT($C17,"#.000"),"""")</f>
        <v>.366" - .510"</v>
      </c>
      <c r="R17" s="275" t="str">
        <f>_xlfn.CONCAT(TEXT($E17,"0.00"),$B$2,TEXT($F17,"0.00"),"mm")</f>
        <v>9.28 - 12.95mm</v>
      </c>
      <c r="S17" s="823">
        <v>19</v>
      </c>
    </row>
    <row r="18" spans="2:20" ht="15.95" customHeight="1" x14ac:dyDescent="0.25">
      <c r="B18" s="351">
        <v>0.51100000000000001</v>
      </c>
      <c r="C18" s="351">
        <v>0.82499999999999996</v>
      </c>
      <c r="E18" s="352">
        <v>12.959999999999999</v>
      </c>
      <c r="F18" s="352">
        <v>20.96</v>
      </c>
      <c r="G18" s="6"/>
      <c r="H18" s="3" t="s">
        <v>450</v>
      </c>
      <c r="I18" s="585">
        <v>20</v>
      </c>
      <c r="J18" s="585"/>
      <c r="K18" s="623"/>
      <c r="L18" s="623"/>
      <c r="N18" s="6"/>
      <c r="P18" s="228">
        <v>3</v>
      </c>
      <c r="Q18" s="11" t="str">
        <f>_xlfn.CONCAT(TEXT($B18,"#.000"),"""",$B$2,TEXT($C18,"#.000"),"""")</f>
        <v>.511" - .825"</v>
      </c>
      <c r="R18" s="152" t="str">
        <f>_xlfn.CONCAT(TEXT($E18,"0.00"),$B$2,TEXT($F18,"0.00"),"mm")</f>
        <v>12.96 - 20.96mm</v>
      </c>
      <c r="S18" s="817">
        <v>20</v>
      </c>
    </row>
    <row r="19" spans="2:20" ht="15.95" customHeight="1" x14ac:dyDescent="0.25">
      <c r="B19" s="351">
        <v>0.82599999999999996</v>
      </c>
      <c r="C19" s="351">
        <v>1.135</v>
      </c>
      <c r="E19" s="352">
        <v>20.970000000000002</v>
      </c>
      <c r="F19" s="352">
        <v>28.83</v>
      </c>
      <c r="G19" s="6"/>
      <c r="H19" s="3" t="s">
        <v>451</v>
      </c>
      <c r="I19" s="585">
        <v>21</v>
      </c>
      <c r="J19" s="585"/>
      <c r="K19" s="623"/>
      <c r="L19" s="623"/>
      <c r="N19" s="6"/>
      <c r="P19" s="821">
        <v>4</v>
      </c>
      <c r="Q19" s="822" t="str">
        <f>_xlfn.CONCAT(TEXT($B19,"#.000"),"""",$B$2,TEXT($C19,"#.000"),"""")</f>
        <v>.826" - 1.135"</v>
      </c>
      <c r="R19" s="275" t="str">
        <f>_xlfn.CONCAT(TEXT($E19,"0.00"),$B$2,TEXT($F19,"0.00"),"mm")</f>
        <v>20.97 - 28.83mm</v>
      </c>
      <c r="S19" s="823">
        <v>21</v>
      </c>
    </row>
    <row r="20" spans="2:20" ht="15.95" customHeight="1" thickBot="1" x14ac:dyDescent="0.3">
      <c r="B20" s="351">
        <v>1.1359999999999999</v>
      </c>
      <c r="C20" s="351">
        <v>1.51</v>
      </c>
      <c r="E20" s="352">
        <v>28.84</v>
      </c>
      <c r="F20" s="352">
        <v>38.35</v>
      </c>
      <c r="G20" s="6"/>
      <c r="H20" s="3" t="s">
        <v>452</v>
      </c>
      <c r="I20" s="585">
        <v>22</v>
      </c>
      <c r="J20" s="585"/>
      <c r="K20" s="623"/>
      <c r="L20" s="623"/>
      <c r="N20" s="6"/>
      <c r="P20" s="588">
        <v>5</v>
      </c>
      <c r="Q20" s="586" t="str">
        <f>_xlfn.CONCAT(TEXT($B20,"#.000"),"""",$B$2,TEXT($C20,"#.000"),"""")</f>
        <v>1.136" - 1.510"</v>
      </c>
      <c r="R20" s="344" t="str">
        <f>_xlfn.CONCAT(TEXT($E20,"0.00"),$B$2,TEXT($F20,"0.00"),"mm")</f>
        <v>28.84 - 38.35mm</v>
      </c>
      <c r="S20" s="818">
        <v>22</v>
      </c>
    </row>
    <row r="21" spans="2:20" ht="7.9" customHeight="1" x14ac:dyDescent="0.25">
      <c r="E21" s="13"/>
    </row>
    <row r="22" spans="2:20" s="3" customFormat="1" x14ac:dyDescent="0.25">
      <c r="C22" s="47" t="s">
        <v>875</v>
      </c>
      <c r="P22" s="396" t="str">
        <f>_xlfn.CONCAT($B$36,"  ",C22)</f>
        <v>•  Custom marking available upon request</v>
      </c>
    </row>
    <row r="23" spans="2:20" x14ac:dyDescent="0.25">
      <c r="Q23" s="31"/>
    </row>
    <row r="24" spans="2:20" ht="15.75" thickBot="1" x14ac:dyDescent="0.3">
      <c r="Q24" s="31"/>
    </row>
    <row r="25" spans="2:20" x14ac:dyDescent="0.25">
      <c r="P25" s="592" t="s">
        <v>465</v>
      </c>
      <c r="Q25" s="592"/>
      <c r="R25" s="592"/>
      <c r="S25" s="592"/>
      <c r="T25" s="593"/>
    </row>
    <row r="26" spans="2:20" ht="17.25" x14ac:dyDescent="0.4">
      <c r="H26"/>
      <c r="I26" s="90"/>
      <c r="J26" s="90"/>
      <c r="K26" s="90"/>
      <c r="L26" s="5"/>
      <c r="P26" s="1326" t="s">
        <v>397</v>
      </c>
      <c r="Q26" s="435" t="s">
        <v>3</v>
      </c>
      <c r="R26" s="16"/>
      <c r="S26" s="443" t="s">
        <v>568</v>
      </c>
      <c r="T26" s="583"/>
    </row>
    <row r="27" spans="2:20" x14ac:dyDescent="0.25">
      <c r="B27" s="20" t="s">
        <v>6</v>
      </c>
      <c r="C27" s="19"/>
      <c r="E27" s="20" t="s">
        <v>7</v>
      </c>
      <c r="F27" s="19"/>
      <c r="H27" s="16" t="s">
        <v>185</v>
      </c>
      <c r="I27" s="1163"/>
      <c r="J27" s="90"/>
      <c r="K27" s="16" t="s">
        <v>199</v>
      </c>
      <c r="L27" s="1163"/>
      <c r="P27" s="1327"/>
      <c r="Q27" s="578" t="s">
        <v>4</v>
      </c>
      <c r="R27" s="276" t="s">
        <v>5</v>
      </c>
      <c r="S27" s="480" t="s">
        <v>185</v>
      </c>
      <c r="T27" s="429" t="s">
        <v>199</v>
      </c>
    </row>
    <row r="28" spans="2:20" ht="15.95" customHeight="1" x14ac:dyDescent="0.25">
      <c r="B28" s="581">
        <v>0.7601</v>
      </c>
      <c r="C28" s="351">
        <v>0.94699999999999995</v>
      </c>
      <c r="E28" s="6">
        <v>19.309999999999999</v>
      </c>
      <c r="F28" s="6">
        <v>24.05</v>
      </c>
      <c r="H28" s="179" t="s">
        <v>453</v>
      </c>
      <c r="I28" s="585">
        <v>19</v>
      </c>
      <c r="J28" s="585"/>
      <c r="K28" s="3" t="s">
        <v>459</v>
      </c>
      <c r="L28" s="585">
        <v>21</v>
      </c>
      <c r="P28" s="584" t="s">
        <v>466</v>
      </c>
      <c r="Q28" s="587" t="str">
        <f t="shared" ref="Q28:Q33" si="0">_xlfn.CONCAT(TEXT($B28,"#.000"),"""",$B$2,TEXT($C28,"#.000"),"""")</f>
        <v>.760" - .947"</v>
      </c>
      <c r="R28" s="152" t="str">
        <f t="shared" ref="R28:R33" si="1">_xlfn.CONCAT(TEXT($E28,"0.00"),$B$2,TEXT($F28,"0.00"),"mm")</f>
        <v>19.31 - 24.05mm</v>
      </c>
      <c r="S28" s="819">
        <v>19</v>
      </c>
      <c r="T28" s="817">
        <v>21</v>
      </c>
    </row>
    <row r="29" spans="2:20" ht="15.95" customHeight="1" x14ac:dyDescent="0.25">
      <c r="B29" s="351">
        <v>0.94710000000000005</v>
      </c>
      <c r="C29" s="351">
        <v>1.135</v>
      </c>
      <c r="E29" s="6">
        <v>24.060000000000002</v>
      </c>
      <c r="F29" s="6">
        <v>28.83</v>
      </c>
      <c r="H29" s="179" t="s">
        <v>454</v>
      </c>
      <c r="I29" s="585">
        <v>20</v>
      </c>
      <c r="J29" s="585"/>
      <c r="K29" s="3" t="s">
        <v>460</v>
      </c>
      <c r="L29" s="585">
        <v>22</v>
      </c>
      <c r="P29" s="824" t="s">
        <v>467</v>
      </c>
      <c r="Q29" s="825" t="str">
        <f t="shared" si="0"/>
        <v>.947" - 1.135"</v>
      </c>
      <c r="R29" s="275" t="str">
        <f t="shared" si="1"/>
        <v>24.06 - 28.83mm</v>
      </c>
      <c r="S29" s="826">
        <v>20</v>
      </c>
      <c r="T29" s="823">
        <v>22</v>
      </c>
    </row>
    <row r="30" spans="2:20" ht="15.95" customHeight="1" x14ac:dyDescent="0.25">
      <c r="B30" s="351">
        <v>1.1351</v>
      </c>
      <c r="C30" s="351">
        <v>1.51</v>
      </c>
      <c r="E30" s="6">
        <v>28.84</v>
      </c>
      <c r="F30" s="6">
        <v>38.35</v>
      </c>
      <c r="H30" s="179" t="s">
        <v>455</v>
      </c>
      <c r="I30" s="585">
        <v>22</v>
      </c>
      <c r="J30" s="585"/>
      <c r="K30" s="3" t="s">
        <v>461</v>
      </c>
      <c r="L30" s="585">
        <v>24</v>
      </c>
      <c r="P30" s="584" t="s">
        <v>468</v>
      </c>
      <c r="Q30" s="330" t="str">
        <f t="shared" si="0"/>
        <v>1.135" - 1.510"</v>
      </c>
      <c r="R30" s="152" t="str">
        <f t="shared" si="1"/>
        <v>28.84 - 38.35mm</v>
      </c>
      <c r="S30" s="820">
        <v>22</v>
      </c>
      <c r="T30" s="817">
        <v>24</v>
      </c>
    </row>
    <row r="31" spans="2:20" ht="15.95" customHeight="1" x14ac:dyDescent="0.25">
      <c r="B31" s="351">
        <v>1.5101</v>
      </c>
      <c r="C31" s="351">
        <v>2.0099999999999998</v>
      </c>
      <c r="E31" s="6">
        <v>38.36</v>
      </c>
      <c r="F31" s="6">
        <v>51.05</v>
      </c>
      <c r="H31" s="179" t="s">
        <v>456</v>
      </c>
      <c r="I31" s="585">
        <v>24</v>
      </c>
      <c r="J31" s="585"/>
      <c r="K31" s="3" t="s">
        <v>462</v>
      </c>
      <c r="L31" s="585">
        <v>26</v>
      </c>
      <c r="P31" s="824" t="s">
        <v>469</v>
      </c>
      <c r="Q31" s="825" t="str">
        <f t="shared" si="0"/>
        <v>1.510" - 2.010"</v>
      </c>
      <c r="R31" s="275" t="str">
        <f t="shared" si="1"/>
        <v>38.36 - 51.05mm</v>
      </c>
      <c r="S31" s="826">
        <v>24</v>
      </c>
      <c r="T31" s="823">
        <v>26</v>
      </c>
    </row>
    <row r="32" spans="2:20" ht="15.95" customHeight="1" x14ac:dyDescent="0.25">
      <c r="B32" s="351">
        <v>2.0101</v>
      </c>
      <c r="C32" s="351">
        <v>2.5099999999999998</v>
      </c>
      <c r="E32" s="6">
        <v>51.059999999999995</v>
      </c>
      <c r="F32" s="6">
        <v>63.75</v>
      </c>
      <c r="H32" s="179" t="s">
        <v>457</v>
      </c>
      <c r="I32" s="585">
        <v>28</v>
      </c>
      <c r="J32" s="585"/>
      <c r="K32" s="3" t="s">
        <v>463</v>
      </c>
      <c r="L32" s="585">
        <v>30</v>
      </c>
      <c r="P32" s="584">
        <v>6</v>
      </c>
      <c r="Q32" s="330" t="str">
        <f t="shared" si="0"/>
        <v>2.010" - 2.510"</v>
      </c>
      <c r="R32" s="152" t="str">
        <f t="shared" si="1"/>
        <v>51.06 - 63.75mm</v>
      </c>
      <c r="S32" s="820">
        <v>28</v>
      </c>
      <c r="T32" s="817">
        <v>30</v>
      </c>
    </row>
    <row r="33" spans="2:22" ht="15.95" customHeight="1" thickBot="1" x14ac:dyDescent="0.3">
      <c r="B33" s="351">
        <v>2.5101</v>
      </c>
      <c r="C33" s="351">
        <v>3.51</v>
      </c>
      <c r="E33" s="6">
        <v>63.76</v>
      </c>
      <c r="F33" s="6">
        <v>89.15</v>
      </c>
      <c r="H33" s="179" t="s">
        <v>458</v>
      </c>
      <c r="I33" s="585">
        <v>30</v>
      </c>
      <c r="J33" s="585"/>
      <c r="K33" s="3" t="s">
        <v>464</v>
      </c>
      <c r="L33" s="585">
        <v>34</v>
      </c>
      <c r="P33" s="827">
        <v>7</v>
      </c>
      <c r="Q33" s="828" t="str">
        <f t="shared" si="0"/>
        <v>2.510" - 3.510"</v>
      </c>
      <c r="R33" s="279" t="str">
        <f t="shared" si="1"/>
        <v>63.76 - 89.15mm</v>
      </c>
      <c r="S33" s="829">
        <v>30</v>
      </c>
      <c r="T33" s="830">
        <v>34</v>
      </c>
    </row>
    <row r="34" spans="2:22" ht="7.9" customHeight="1" x14ac:dyDescent="0.25">
      <c r="S34" s="43"/>
      <c r="T34" s="43"/>
      <c r="U34" s="3"/>
      <c r="V34" s="3"/>
    </row>
    <row r="35" spans="2:22" x14ac:dyDescent="0.25">
      <c r="C35" s="396"/>
      <c r="H35" s="11"/>
      <c r="P35" s="557" t="s">
        <v>743</v>
      </c>
      <c r="T35" s="43"/>
      <c r="U35" s="3"/>
      <c r="V35" s="3"/>
    </row>
    <row r="36" spans="2:22" x14ac:dyDescent="0.25">
      <c r="B36" s="396" t="s">
        <v>635</v>
      </c>
      <c r="C36" t="s">
        <v>867</v>
      </c>
      <c r="H36" s="11"/>
      <c r="P36" s="439" t="str">
        <f>_xlfn.CONCAT($B$36,"  ",C36)</f>
        <v>•  Single-end handles sold with Go screw, unless otherwise specified</v>
      </c>
      <c r="T36" s="43"/>
      <c r="U36" s="3"/>
      <c r="V36" s="3"/>
    </row>
    <row r="37" spans="2:22" x14ac:dyDescent="0.25">
      <c r="C37" t="s">
        <v>868</v>
      </c>
      <c r="H37" s="11"/>
      <c r="P37" s="439" t="str">
        <f t="shared" ref="P37:P38" si="2">_xlfn.CONCAT($B$36,"  ",C37)</f>
        <v>•  Double-end handles sold with Go and NoGo screws</v>
      </c>
      <c r="T37" s="43"/>
      <c r="U37" s="3"/>
      <c r="V37" s="3"/>
    </row>
    <row r="38" spans="2:22" x14ac:dyDescent="0.25">
      <c r="C38" s="31" t="s">
        <v>875</v>
      </c>
      <c r="H38" s="11"/>
      <c r="P38" s="439" t="str">
        <f t="shared" si="2"/>
        <v>•  Custom marking available upon request</v>
      </c>
      <c r="T38" s="43"/>
      <c r="U38" s="3"/>
      <c r="V38" s="3"/>
    </row>
    <row r="39" spans="2:22" x14ac:dyDescent="0.25">
      <c r="Q39" s="31"/>
    </row>
    <row r="40" spans="2:22" collapsed="1" x14ac:dyDescent="0.25">
      <c r="Q40" s="31"/>
    </row>
    <row r="41" spans="2:22" hidden="1" outlineLevel="1" x14ac:dyDescent="0.25">
      <c r="Q41" s="31"/>
    </row>
    <row r="42" spans="2:22" hidden="1" outlineLevel="1" x14ac:dyDescent="0.25">
      <c r="Q42" s="31"/>
    </row>
    <row r="43" spans="2:22" hidden="1" outlineLevel="1" x14ac:dyDescent="0.25">
      <c r="P43" s="17" t="s">
        <v>611</v>
      </c>
      <c r="Q43" s="31"/>
    </row>
    <row r="44" spans="2:22" hidden="1" outlineLevel="1" x14ac:dyDescent="0.25">
      <c r="P44" s="17"/>
      <c r="Q44" s="31"/>
    </row>
    <row r="45" spans="2:22" hidden="1" outlineLevel="1" x14ac:dyDescent="0.25">
      <c r="Q45" s="16" t="s">
        <v>3</v>
      </c>
      <c r="R45" s="16"/>
    </row>
    <row r="46" spans="2:22" hidden="1" outlineLevel="1" x14ac:dyDescent="0.25">
      <c r="P46" s="15" t="s">
        <v>610</v>
      </c>
      <c r="Q46" s="10" t="s">
        <v>4</v>
      </c>
      <c r="R46" s="15" t="s">
        <v>5</v>
      </c>
    </row>
    <row r="47" spans="2:22" hidden="1" outlineLevel="1" x14ac:dyDescent="0.25">
      <c r="B47" s="272">
        <v>0.2301</v>
      </c>
      <c r="C47" s="272">
        <v>0.36499999999999999</v>
      </c>
      <c r="E47" s="273">
        <v>5.8410000000000002</v>
      </c>
      <c r="F47" s="273">
        <v>9.27</v>
      </c>
      <c r="P47" s="11">
        <v>1</v>
      </c>
      <c r="Q47" s="11" t="str">
        <f>_xlfn.CONCAT(TEXT($B47,"#.000#"),"""",$B$2,TEXT($C47,"#.000#"),"""")</f>
        <v>.2301" - .365"</v>
      </c>
      <c r="R47" s="12" t="str">
        <f>_xlfn.CONCAT(TEXT($E47,"0.00#"),$B$2,TEXT($F47,"0.00#"),"mm")</f>
        <v>5.841 - 9.27mm</v>
      </c>
    </row>
    <row r="48" spans="2:22" hidden="1" outlineLevel="1" x14ac:dyDescent="0.25">
      <c r="B48" s="272">
        <v>0.36509999999999998</v>
      </c>
      <c r="C48" s="272">
        <v>0.51</v>
      </c>
      <c r="E48" s="273">
        <v>9.2710000000000008</v>
      </c>
      <c r="F48" s="273">
        <v>12.95</v>
      </c>
      <c r="P48" s="11">
        <v>2</v>
      </c>
      <c r="Q48" s="11" t="str">
        <f>_xlfn.CONCAT(TEXT($B48,"#.000#"),"""",$B$2,TEXT($C48,"#.000#"),"""")</f>
        <v>.3651" - .510"</v>
      </c>
      <c r="R48" s="12" t="str">
        <f>_xlfn.CONCAT(TEXT($E48,"0.00#"),$B$2,TEXT($F48,"0.00#"),"mm")</f>
        <v>9.271 - 12.95mm</v>
      </c>
    </row>
    <row r="49" spans="1:18" hidden="1" outlineLevel="1" x14ac:dyDescent="0.25">
      <c r="B49" s="272">
        <v>0.5101</v>
      </c>
      <c r="C49" s="272">
        <v>0.82499999999999996</v>
      </c>
      <c r="E49" s="273">
        <v>12.951000000000001</v>
      </c>
      <c r="F49" s="273">
        <v>20.96</v>
      </c>
      <c r="P49" s="11">
        <v>3</v>
      </c>
      <c r="Q49" s="11" t="str">
        <f>_xlfn.CONCAT(TEXT($B49,"#.000#"),"""",$B$2,TEXT($C49,"#.000#"),"""")</f>
        <v>.5101" - .825"</v>
      </c>
      <c r="R49" s="12" t="str">
        <f>_xlfn.CONCAT(TEXT($E49,"0.00#"),$B$2,TEXT($F49,"0.00#"),"mm")</f>
        <v>12.951 - 20.96mm</v>
      </c>
    </row>
    <row r="50" spans="1:18" hidden="1" outlineLevel="1" x14ac:dyDescent="0.25">
      <c r="B50" s="90">
        <v>0.82509999999999994</v>
      </c>
      <c r="C50" s="90">
        <v>1.135</v>
      </c>
      <c r="E50" s="273">
        <v>20.960999999999999</v>
      </c>
      <c r="F50" s="273">
        <v>28.83</v>
      </c>
      <c r="P50" s="11">
        <v>4</v>
      </c>
      <c r="Q50" s="11" t="str">
        <f>_xlfn.CONCAT(TEXT($B50,"#.000#"),"""",$B$2,TEXT($C50,"#.000#"),"""")</f>
        <v>.8251" - 1.135"</v>
      </c>
      <c r="R50" s="12" t="str">
        <f>_xlfn.CONCAT(TEXT($E50,"0.00#"),$B$2,TEXT($F50,"0.00#"),"mm")</f>
        <v>20.961 - 28.83mm</v>
      </c>
    </row>
    <row r="51" spans="1:18" hidden="1" outlineLevel="1" x14ac:dyDescent="0.25">
      <c r="B51" s="272">
        <v>1.1351</v>
      </c>
      <c r="C51" s="272">
        <v>1.51</v>
      </c>
      <c r="E51" s="273">
        <v>29.831</v>
      </c>
      <c r="F51" s="273">
        <v>38.35</v>
      </c>
      <c r="P51" s="11">
        <v>5</v>
      </c>
      <c r="Q51" s="11" t="str">
        <f>_xlfn.CONCAT(TEXT($B51,"#.000#"),"""",$B$2,TEXT($C51,"#.000#"),"""")</f>
        <v>1.1351" - 1.510"</v>
      </c>
      <c r="R51" s="12" t="str">
        <f>_xlfn.CONCAT(TEXT($E51,"0.00#"),$B$2,TEXT($F51,"0.00#"),"mm")</f>
        <v>29.831 - 38.35mm</v>
      </c>
    </row>
    <row r="52" spans="1:18" hidden="1" outlineLevel="1" x14ac:dyDescent="0.25"/>
    <row r="53" spans="1:18" hidden="1" outlineLevel="1" x14ac:dyDescent="0.25"/>
    <row r="54" spans="1:18" hidden="1" outlineLevel="1" x14ac:dyDescent="0.25"/>
    <row r="55" spans="1:18" hidden="1" outlineLevel="1" x14ac:dyDescent="0.25">
      <c r="A55" s="46"/>
    </row>
    <row r="56" spans="1:18" hidden="1" outlineLevel="1" x14ac:dyDescent="0.25"/>
  </sheetData>
  <sheetProtection algorithmName="SHA-512" hashValue="OCp8SykgMK/SeC0DnYwLIt0Hyy+IUKBApvZV9WhcPr0aF8JfP8Ij56dnbRmitPwqS/tFKHB9cdjwF/HWAB2Tuw==" saltValue="+YtFn0cKekF17vP0+nWRDw==" spinCount="100000" sheet="1" objects="1" scenarios="1"/>
  <mergeCells count="5">
    <mergeCell ref="P26:P27"/>
    <mergeCell ref="P14:P15"/>
    <mergeCell ref="S14:S15"/>
    <mergeCell ref="P6:P7"/>
    <mergeCell ref="S6:S7"/>
  </mergeCells>
  <conditionalFormatting sqref="P22">
    <cfRule type="expression" dxfId="4" priority="1">
      <formula>#REF!="y"</formula>
    </cfRule>
  </conditionalFormatting>
  <conditionalFormatting sqref="P35">
    <cfRule type="expression" dxfId="3" priority="5">
      <formula>$T35="y"</formula>
    </cfRule>
  </conditionalFormatting>
  <conditionalFormatting sqref="P36:P38">
    <cfRule type="expression" dxfId="2" priority="2">
      <formula>#REF!="y"</formula>
    </cfRule>
  </conditionalFormatting>
  <pageMargins left="0.25" right="0.25" top="0.75" bottom="0.75" header="0.3" footer="0.3"/>
  <pageSetup scale="46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CC4AD-B3A0-439A-82CB-E6AA4218785D}">
  <sheetPr codeName="Sheet13">
    <outlinePr summaryBelow="0"/>
    <pageSetUpPr fitToPage="1"/>
  </sheetPr>
  <dimension ref="A1:AD47"/>
  <sheetViews>
    <sheetView showGridLines="0" zoomScale="90" zoomScaleNormal="90" workbookViewId="0">
      <selection activeCell="L50" sqref="L50"/>
    </sheetView>
  </sheetViews>
  <sheetFormatPr defaultColWidth="8.85546875" defaultRowHeight="15" outlineLevelCol="1" x14ac:dyDescent="0.25"/>
  <cols>
    <col min="1" max="1" width="2.7109375" style="536" customWidth="1"/>
    <col min="2" max="3" width="11.7109375" style="3" hidden="1" customWidth="1" outlineLevel="1"/>
    <col min="4" max="4" width="2.7109375" style="3" hidden="1" customWidth="1" outlineLevel="1"/>
    <col min="5" max="6" width="11.5703125" style="3" hidden="1" customWidth="1" outlineLevel="1"/>
    <col min="7" max="7" width="2.7109375" style="3" hidden="1" customWidth="1" outlineLevel="1"/>
    <col min="8" max="10" width="11.5703125" style="3" hidden="1" customWidth="1" outlineLevel="1"/>
    <col min="11" max="11" width="3.7109375" hidden="1" customWidth="1" outlineLevel="1"/>
    <col min="12" max="12" width="17.42578125" customWidth="1" collapsed="1"/>
    <col min="13" max="13" width="17.42578125" style="11" customWidth="1"/>
    <col min="14" max="14" width="16.42578125" style="11" customWidth="1"/>
    <col min="15" max="15" width="16.42578125" customWidth="1"/>
    <col min="16" max="17" width="16.42578125" style="11" customWidth="1"/>
    <col min="18" max="18" width="3.7109375" customWidth="1"/>
    <col min="19" max="19" width="14" style="35" hidden="1" customWidth="1" outlineLevel="1"/>
    <col min="20" max="20" width="2.7109375" hidden="1" customWidth="1" outlineLevel="1"/>
    <col min="21" max="22" width="14.7109375" hidden="1" customWidth="1" outlineLevel="1"/>
    <col min="23" max="23" width="14.7109375" style="11" hidden="1" customWidth="1" outlineLevel="1"/>
    <col min="24" max="24" width="10.7109375" customWidth="1" collapsed="1"/>
    <col min="25" max="25" width="12.7109375" customWidth="1"/>
    <col min="26" max="26" width="2.7109375" customWidth="1"/>
    <col min="27" max="27" width="12.28515625" customWidth="1"/>
    <col min="28" max="28" width="2.7109375" customWidth="1"/>
    <col min="29" max="29" width="12" customWidth="1"/>
    <col min="30" max="30" width="14.5703125" customWidth="1"/>
    <col min="31" max="36" width="15.7109375" customWidth="1"/>
  </cols>
  <sheetData>
    <row r="1" spans="1:30" ht="9.9499999999999993" customHeight="1" x14ac:dyDescent="0.25"/>
    <row r="2" spans="1:30" ht="21" x14ac:dyDescent="0.35">
      <c r="L2" s="1" t="s">
        <v>877</v>
      </c>
      <c r="M2" s="484"/>
    </row>
    <row r="3" spans="1:30" s="9" customFormat="1" ht="15.75" x14ac:dyDescent="0.25">
      <c r="A3" s="855"/>
      <c r="D3" s="483"/>
      <c r="E3" s="483"/>
      <c r="F3" s="483"/>
      <c r="G3" s="483"/>
      <c r="H3" s="483"/>
      <c r="I3" s="483"/>
      <c r="J3" s="483"/>
      <c r="K3" s="42"/>
      <c r="L3" s="9" t="s">
        <v>878</v>
      </c>
      <c r="M3" s="22"/>
      <c r="N3" s="7"/>
      <c r="P3" s="7"/>
      <c r="Q3" s="7"/>
      <c r="S3" s="35"/>
      <c r="T3"/>
      <c r="U3"/>
      <c r="V3"/>
      <c r="W3"/>
      <c r="X3"/>
      <c r="Y3"/>
      <c r="Z3"/>
      <c r="AA3"/>
      <c r="AB3"/>
      <c r="AC3"/>
      <c r="AD3"/>
    </row>
    <row r="4" spans="1:30" ht="12.75" customHeight="1" x14ac:dyDescent="0.25">
      <c r="B4"/>
      <c r="C4"/>
      <c r="D4" s="38"/>
      <c r="E4" s="38"/>
      <c r="F4" s="38"/>
      <c r="G4" s="38"/>
      <c r="H4" s="38"/>
      <c r="I4" s="38"/>
      <c r="J4" s="38"/>
      <c r="K4" s="17"/>
      <c r="M4" s="15"/>
      <c r="W4"/>
    </row>
    <row r="5" spans="1:30" x14ac:dyDescent="0.25">
      <c r="D5" s="38"/>
      <c r="E5" s="38"/>
      <c r="F5" s="38"/>
      <c r="G5" s="38"/>
      <c r="H5" s="38"/>
      <c r="I5" s="38"/>
      <c r="J5" s="38"/>
      <c r="K5" s="17"/>
      <c r="L5" s="17" t="s">
        <v>965</v>
      </c>
      <c r="M5" s="15"/>
      <c r="W5"/>
    </row>
    <row r="6" spans="1:30" x14ac:dyDescent="0.25">
      <c r="D6" s="38"/>
      <c r="E6" s="38"/>
      <c r="F6" s="38"/>
      <c r="G6" s="38"/>
      <c r="H6" s="38"/>
      <c r="I6" s="38"/>
      <c r="J6" s="38"/>
      <c r="K6" s="17"/>
      <c r="M6" s="15"/>
      <c r="W6"/>
    </row>
    <row r="7" spans="1:30" x14ac:dyDescent="0.25">
      <c r="B7" s="696" t="s">
        <v>859</v>
      </c>
      <c r="C7" s="696" t="s">
        <v>860</v>
      </c>
      <c r="D7" s="38"/>
      <c r="E7" s="38"/>
      <c r="F7" s="38"/>
      <c r="G7" s="38"/>
      <c r="H7" s="697" t="s">
        <v>635</v>
      </c>
      <c r="I7" s="400" t="s">
        <v>879</v>
      </c>
      <c r="J7" s="38"/>
      <c r="K7" s="17"/>
      <c r="L7" s="697" t="str">
        <f>_xlfn.CONCAT($H$7,"  ",$I7)</f>
        <v>•  Class ZZ (.0002" tolerance)</v>
      </c>
      <c r="M7" s="15"/>
      <c r="W7"/>
    </row>
    <row r="8" spans="1:30" x14ac:dyDescent="0.25">
      <c r="B8" s="440">
        <v>101</v>
      </c>
      <c r="C8" s="440" t="s">
        <v>760</v>
      </c>
      <c r="D8" s="38"/>
      <c r="E8" s="38"/>
      <c r="F8" s="38"/>
      <c r="G8" s="38"/>
      <c r="H8" s="72"/>
      <c r="I8" s="13" t="s">
        <v>631</v>
      </c>
      <c r="J8" s="38"/>
      <c r="K8" s="17"/>
      <c r="L8" s="697" t="str">
        <f>_xlfn.CONCAT($H$7,"  ",$I8)</f>
        <v>•  Go (Plus) or NoGo (Minus)</v>
      </c>
      <c r="M8" s="15"/>
      <c r="W8"/>
    </row>
    <row r="9" spans="1:30" x14ac:dyDescent="0.25">
      <c r="B9" s="440">
        <v>105</v>
      </c>
      <c r="C9" s="440" t="s">
        <v>761</v>
      </c>
      <c r="D9" s="38"/>
      <c r="E9" s="38"/>
      <c r="F9" s="38"/>
      <c r="G9" s="38"/>
      <c r="H9"/>
      <c r="I9" s="13" t="s">
        <v>641</v>
      </c>
      <c r="J9" s="38"/>
      <c r="K9" s="17"/>
      <c r="L9" s="697" t="str">
        <f>_xlfn.CONCAT($H$7,"  ",$I9)</f>
        <v>•  .001" increments</v>
      </c>
      <c r="M9" s="15"/>
      <c r="W9"/>
    </row>
    <row r="10" spans="1:30" ht="15.75" thickBot="1" x14ac:dyDescent="0.3">
      <c r="B10" s="440">
        <v>106</v>
      </c>
      <c r="C10" s="440" t="s">
        <v>709</v>
      </c>
      <c r="D10" s="38"/>
      <c r="E10" s="38"/>
      <c r="F10" s="38"/>
      <c r="G10" s="38"/>
      <c r="H10" s="38"/>
      <c r="I10" s="38"/>
      <c r="J10" s="38"/>
      <c r="K10" s="17"/>
      <c r="M10" s="15"/>
      <c r="W10"/>
    </row>
    <row r="11" spans="1:30" x14ac:dyDescent="0.25">
      <c r="B11" s="50" t="s">
        <v>567</v>
      </c>
      <c r="C11" s="542">
        <v>1E-3</v>
      </c>
      <c r="D11" s="38"/>
      <c r="E11" s="38"/>
      <c r="F11" s="38"/>
      <c r="G11" s="38"/>
      <c r="J11" s="38"/>
      <c r="K11" s="17"/>
      <c r="L11" s="592" t="s">
        <v>967</v>
      </c>
      <c r="M11" s="598"/>
      <c r="W11"/>
    </row>
    <row r="12" spans="1:30" x14ac:dyDescent="0.25">
      <c r="D12" s="38"/>
      <c r="E12" s="38"/>
      <c r="F12" s="38"/>
      <c r="G12" s="38"/>
      <c r="H12" s="19" t="s">
        <v>626</v>
      </c>
      <c r="I12" s="19"/>
      <c r="J12" s="38"/>
      <c r="K12" s="17"/>
      <c r="L12" s="790" t="s">
        <v>3</v>
      </c>
      <c r="M12" s="617" t="s">
        <v>568</v>
      </c>
      <c r="W12"/>
    </row>
    <row r="13" spans="1:30" x14ac:dyDescent="0.25">
      <c r="B13" s="793">
        <v>1.0999999999999999E-2</v>
      </c>
      <c r="C13" s="351">
        <v>0.03</v>
      </c>
      <c r="D13" s="38"/>
      <c r="E13" s="628">
        <v>4.5</v>
      </c>
      <c r="F13" s="628">
        <v>7</v>
      </c>
      <c r="G13" s="628"/>
      <c r="H13" s="350">
        <f t="shared" ref="H13" si="0">IF(F13=0,0,F13-E13)</f>
        <v>2.5</v>
      </c>
      <c r="I13" s="349">
        <f>IFERROR((H13/E13),0)</f>
        <v>0.55555555555555558</v>
      </c>
      <c r="J13" s="38"/>
      <c r="K13" s="17"/>
      <c r="L13" s="641" t="str">
        <f>_xlfn.CONCAT(TEXT($B13,"#.000"),""""," - ",TEXT($C13,"#.000"),"""")</f>
        <v>.011" - .030"</v>
      </c>
      <c r="M13" s="642">
        <f t="shared" ref="M13:M18" si="1">$F13</f>
        <v>7</v>
      </c>
      <c r="W13"/>
    </row>
    <row r="14" spans="1:30" x14ac:dyDescent="0.25">
      <c r="B14" s="629">
        <f>$C$11+C13</f>
        <v>3.1E-2</v>
      </c>
      <c r="C14" s="351">
        <v>7.4999999999999997E-2</v>
      </c>
      <c r="D14" s="38"/>
      <c r="E14" s="628">
        <v>4.5</v>
      </c>
      <c r="F14" s="628">
        <v>6</v>
      </c>
      <c r="G14" s="628"/>
      <c r="H14" s="350">
        <f t="shared" ref="H14:H20" si="2">IF(F14=0,0,F14-E14)</f>
        <v>1.5</v>
      </c>
      <c r="I14" s="349">
        <f t="shared" ref="I14:I20" si="3">IFERROR((H14/E14),0)</f>
        <v>0.33333333333333331</v>
      </c>
      <c r="J14" s="38"/>
      <c r="K14" s="17"/>
      <c r="L14" s="788" t="str">
        <f t="shared" ref="L14:L20" si="4">_xlfn.CONCAT(TEXT($B14,"#.000"),""""," - ",TEXT($C14,"#.000"),"""")</f>
        <v>.031" - .075"</v>
      </c>
      <c r="M14" s="791">
        <f t="shared" si="1"/>
        <v>6</v>
      </c>
      <c r="W14"/>
    </row>
    <row r="15" spans="1:30" x14ac:dyDescent="0.25">
      <c r="B15" s="629">
        <f>$C$11+C14</f>
        <v>7.5999999999999998E-2</v>
      </c>
      <c r="C15" s="351">
        <v>0.18</v>
      </c>
      <c r="D15" s="38"/>
      <c r="E15" s="628">
        <v>4.5</v>
      </c>
      <c r="F15" s="628">
        <v>5</v>
      </c>
      <c r="G15" s="628"/>
      <c r="H15" s="350">
        <f t="shared" si="2"/>
        <v>0.5</v>
      </c>
      <c r="I15" s="349">
        <f t="shared" si="3"/>
        <v>0.1111111111111111</v>
      </c>
      <c r="J15" s="38"/>
      <c r="K15" s="17"/>
      <c r="L15" s="641" t="str">
        <f t="shared" si="4"/>
        <v>.076" - .180"</v>
      </c>
      <c r="M15" s="642">
        <f t="shared" si="1"/>
        <v>5</v>
      </c>
      <c r="W15"/>
    </row>
    <row r="16" spans="1:30" x14ac:dyDescent="0.25">
      <c r="B16" s="629">
        <f>$C$11+C15</f>
        <v>0.18099999999999999</v>
      </c>
      <c r="C16" s="351">
        <v>0.28100000000000003</v>
      </c>
      <c r="D16" s="38"/>
      <c r="E16" s="628">
        <v>4.5</v>
      </c>
      <c r="F16" s="628">
        <v>5.5</v>
      </c>
      <c r="G16" s="628"/>
      <c r="H16" s="350">
        <f t="shared" si="2"/>
        <v>1</v>
      </c>
      <c r="I16" s="349">
        <f t="shared" si="3"/>
        <v>0.22222222222222221</v>
      </c>
      <c r="J16" s="38"/>
      <c r="K16" s="17"/>
      <c r="L16" s="788" t="str">
        <f t="shared" si="4"/>
        <v>.181" - .281"</v>
      </c>
      <c r="M16" s="791">
        <f t="shared" si="1"/>
        <v>5.5</v>
      </c>
      <c r="W16"/>
    </row>
    <row r="17" spans="1:23" x14ac:dyDescent="0.25">
      <c r="B17" s="629">
        <f>$C$11+C16</f>
        <v>0.28200000000000003</v>
      </c>
      <c r="C17" s="351">
        <v>0.40600000000000003</v>
      </c>
      <c r="D17" s="38"/>
      <c r="E17" s="628">
        <v>5.25</v>
      </c>
      <c r="F17" s="628">
        <v>6.5</v>
      </c>
      <c r="G17" s="628"/>
      <c r="H17" s="350">
        <f t="shared" si="2"/>
        <v>1.25</v>
      </c>
      <c r="I17" s="349">
        <f t="shared" si="3"/>
        <v>0.23809523809523808</v>
      </c>
      <c r="J17" s="38"/>
      <c r="K17" s="17"/>
      <c r="L17" s="641" t="str">
        <f t="shared" si="4"/>
        <v>.282" - .406"</v>
      </c>
      <c r="M17" s="642">
        <f t="shared" si="1"/>
        <v>6.5</v>
      </c>
      <c r="W17"/>
    </row>
    <row r="18" spans="1:23" x14ac:dyDescent="0.25">
      <c r="B18" s="629">
        <f>$C$11+C17</f>
        <v>0.40700000000000003</v>
      </c>
      <c r="C18" s="351">
        <v>0.51</v>
      </c>
      <c r="D18" s="38"/>
      <c r="E18" s="628">
        <v>7.5</v>
      </c>
      <c r="F18" s="628">
        <v>8</v>
      </c>
      <c r="G18" s="628"/>
      <c r="H18" s="350">
        <f t="shared" si="2"/>
        <v>0.5</v>
      </c>
      <c r="I18" s="349">
        <f t="shared" si="3"/>
        <v>6.6666666666666666E-2</v>
      </c>
      <c r="J18" s="38"/>
      <c r="K18" s="17"/>
      <c r="L18" s="788" t="str">
        <f t="shared" si="4"/>
        <v>.407" - .510"</v>
      </c>
      <c r="M18" s="791">
        <f t="shared" si="1"/>
        <v>8</v>
      </c>
      <c r="W18"/>
    </row>
    <row r="19" spans="1:23" x14ac:dyDescent="0.25">
      <c r="B19" s="629">
        <f>$C$11+C18</f>
        <v>0.51100000000000001</v>
      </c>
      <c r="C19" s="351">
        <v>0.63500000000000001</v>
      </c>
      <c r="D19" s="38"/>
      <c r="E19" s="628">
        <v>0</v>
      </c>
      <c r="F19" s="628">
        <v>9</v>
      </c>
      <c r="G19" s="628"/>
      <c r="H19" s="350">
        <f t="shared" si="2"/>
        <v>9</v>
      </c>
      <c r="I19" s="349">
        <f t="shared" si="3"/>
        <v>0</v>
      </c>
      <c r="J19" s="38"/>
      <c r="K19" s="17"/>
      <c r="L19" s="102" t="str">
        <f t="shared" si="4"/>
        <v>.511" - .635"</v>
      </c>
      <c r="M19" s="642">
        <f>$F19</f>
        <v>9</v>
      </c>
      <c r="W19"/>
    </row>
    <row r="20" spans="1:23" ht="15.75" thickBot="1" x14ac:dyDescent="0.3">
      <c r="B20" s="629">
        <f>$C$11+C19</f>
        <v>0.63600000000000001</v>
      </c>
      <c r="C20" s="351">
        <v>0.75</v>
      </c>
      <c r="D20" s="38"/>
      <c r="E20" s="628">
        <v>0</v>
      </c>
      <c r="F20" s="628">
        <v>10</v>
      </c>
      <c r="G20" s="628"/>
      <c r="H20" s="350">
        <f t="shared" si="2"/>
        <v>10</v>
      </c>
      <c r="I20" s="349">
        <f t="shared" si="3"/>
        <v>0</v>
      </c>
      <c r="J20" s="38"/>
      <c r="K20" s="17"/>
      <c r="L20" s="789" t="str">
        <f t="shared" si="4"/>
        <v>.636" - .750"</v>
      </c>
      <c r="M20" s="792">
        <f>$F20</f>
        <v>10</v>
      </c>
      <c r="W20"/>
    </row>
    <row r="21" spans="1:23" ht="15.75" thickBot="1" x14ac:dyDescent="0.3">
      <c r="B21" s="629"/>
      <c r="C21" s="351"/>
      <c r="D21" s="38"/>
      <c r="E21" s="628"/>
      <c r="F21" s="628"/>
      <c r="G21" s="628"/>
      <c r="H21" s="350"/>
      <c r="I21" s="349"/>
      <c r="J21" s="38"/>
      <c r="K21" s="17"/>
      <c r="M21"/>
      <c r="W21"/>
    </row>
    <row r="22" spans="1:23" x14ac:dyDescent="0.25">
      <c r="D22" s="38"/>
      <c r="E22" s="38"/>
      <c r="F22" s="38"/>
      <c r="G22" s="38"/>
      <c r="H22" s="38"/>
      <c r="I22" s="38"/>
      <c r="J22" s="38"/>
      <c r="K22" s="17"/>
      <c r="L22" s="592" t="s">
        <v>880</v>
      </c>
      <c r="M22" s="592"/>
      <c r="N22" s="592"/>
      <c r="O22" s="592"/>
      <c r="P22" s="592"/>
      <c r="Q22" s="592"/>
      <c r="W22"/>
    </row>
    <row r="23" spans="1:23" s="183" customFormat="1" ht="30" x14ac:dyDescent="0.25">
      <c r="A23" s="856"/>
      <c r="B23" s="1068"/>
      <c r="C23" s="1068"/>
      <c r="D23" s="656"/>
      <c r="E23" s="631"/>
      <c r="F23" s="631"/>
      <c r="G23" s="656"/>
      <c r="H23" s="656"/>
      <c r="I23" s="656"/>
      <c r="J23" s="656"/>
      <c r="K23" s="657"/>
      <c r="L23" s="145" t="s">
        <v>9</v>
      </c>
      <c r="M23" s="147" t="s">
        <v>10</v>
      </c>
      <c r="N23" s="149" t="s">
        <v>3</v>
      </c>
      <c r="O23" s="624" t="s">
        <v>11</v>
      </c>
      <c r="P23" s="625" t="s">
        <v>12</v>
      </c>
      <c r="Q23" s="1067" t="s">
        <v>568</v>
      </c>
      <c r="S23" s="1069" t="s">
        <v>883</v>
      </c>
      <c r="U23" s="1070">
        <v>0.3</v>
      </c>
      <c r="V23" s="1070">
        <v>0.4</v>
      </c>
      <c r="W23" s="1070">
        <v>0.5</v>
      </c>
    </row>
    <row r="24" spans="1:23" s="183" customFormat="1" x14ac:dyDescent="0.25">
      <c r="A24" s="856"/>
      <c r="B24" s="630">
        <v>1.0999999999999999E-2</v>
      </c>
      <c r="C24" s="630">
        <v>0.06</v>
      </c>
      <c r="D24" s="656"/>
      <c r="E24" s="631">
        <v>105</v>
      </c>
      <c r="F24" s="631">
        <v>120</v>
      </c>
      <c r="G24" s="656"/>
      <c r="H24" s="632">
        <f t="shared" ref="H24:H35" si="5">IF(F24=0,0,F24-E24)</f>
        <v>15</v>
      </c>
      <c r="I24" s="633">
        <f t="shared" ref="I24:I35" si="6">H24/E24</f>
        <v>0.14285714285714285</v>
      </c>
      <c r="J24" s="656"/>
      <c r="K24" s="657"/>
      <c r="L24" s="644" t="s">
        <v>721</v>
      </c>
      <c r="M24" s="645" t="s">
        <v>14</v>
      </c>
      <c r="N24" s="646" t="str">
        <f>_xlfn.CONCAT(TEXT($B24,"#.000"),""""," - ",TEXT($C24,"#.000"),"""")</f>
        <v>.011" - .060"</v>
      </c>
      <c r="O24" s="645">
        <v>50</v>
      </c>
      <c r="P24" s="646">
        <v>1</v>
      </c>
      <c r="Q24" s="1349">
        <f>$F24</f>
        <v>120</v>
      </c>
      <c r="S24" s="631">
        <v>110</v>
      </c>
      <c r="U24" s="839">
        <f>PRODUCT((1-U$23),$Q24)</f>
        <v>84</v>
      </c>
      <c r="V24" s="839">
        <f t="shared" ref="V24:W35" si="7">PRODUCT((1-V$23),$Q24)</f>
        <v>72</v>
      </c>
      <c r="W24" s="839">
        <f t="shared" si="7"/>
        <v>60</v>
      </c>
    </row>
    <row r="25" spans="1:23" s="183" customFormat="1" x14ac:dyDescent="0.25">
      <c r="A25" s="856"/>
      <c r="B25" s="630">
        <v>1.0999999999999999E-2</v>
      </c>
      <c r="C25" s="630">
        <v>0.06</v>
      </c>
      <c r="D25" s="656"/>
      <c r="E25" s="631">
        <v>105</v>
      </c>
      <c r="F25" s="631">
        <v>120</v>
      </c>
      <c r="G25" s="656"/>
      <c r="H25" s="632">
        <f t="shared" si="5"/>
        <v>15</v>
      </c>
      <c r="I25" s="633">
        <f t="shared" si="6"/>
        <v>0.14285714285714285</v>
      </c>
      <c r="J25" s="656"/>
      <c r="K25" s="657"/>
      <c r="L25" s="644" t="s">
        <v>720</v>
      </c>
      <c r="M25" s="645" t="s">
        <v>17</v>
      </c>
      <c r="N25" s="647" t="str">
        <f t="shared" ref="N25:N35" si="8">_xlfn.CONCAT(TEXT($B25,"#.000"),""""," - ",TEXT($C25,"#.000"),"""")</f>
        <v>.011" - .060"</v>
      </c>
      <c r="O25" s="645">
        <v>50</v>
      </c>
      <c r="P25" s="647">
        <v>1</v>
      </c>
      <c r="Q25" s="1349">
        <f t="shared" ref="Q25:Q35" si="9">$F25</f>
        <v>120</v>
      </c>
      <c r="S25" s="631">
        <v>110</v>
      </c>
      <c r="U25" s="839">
        <f t="shared" ref="U25:U35" si="10">PRODUCT((1-U$23),$Q25)</f>
        <v>84</v>
      </c>
      <c r="V25" s="839">
        <f t="shared" si="7"/>
        <v>72</v>
      </c>
      <c r="W25" s="839">
        <f t="shared" si="7"/>
        <v>60</v>
      </c>
    </row>
    <row r="26" spans="1:23" s="183" customFormat="1" x14ac:dyDescent="0.25">
      <c r="A26" s="856"/>
      <c r="B26" s="630">
        <v>1.0999999999999999E-2</v>
      </c>
      <c r="C26" s="630">
        <v>0.25</v>
      </c>
      <c r="D26" s="656"/>
      <c r="E26" s="631">
        <v>330</v>
      </c>
      <c r="F26" s="631">
        <v>360</v>
      </c>
      <c r="G26" s="656"/>
      <c r="H26" s="632">
        <f t="shared" si="5"/>
        <v>30</v>
      </c>
      <c r="I26" s="633">
        <f t="shared" si="6"/>
        <v>9.0909090909090912E-2</v>
      </c>
      <c r="J26" s="656"/>
      <c r="K26" s="657"/>
      <c r="L26" s="698" t="s">
        <v>719</v>
      </c>
      <c r="M26" s="699" t="s">
        <v>14</v>
      </c>
      <c r="N26" s="699" t="str">
        <f t="shared" si="8"/>
        <v>.011" - .250"</v>
      </c>
      <c r="O26" s="699">
        <v>240</v>
      </c>
      <c r="P26" s="699">
        <v>7</v>
      </c>
      <c r="Q26" s="1350">
        <f t="shared" si="9"/>
        <v>360</v>
      </c>
      <c r="S26" s="631">
        <v>315</v>
      </c>
      <c r="U26" s="840">
        <f t="shared" si="10"/>
        <v>251.99999999999997</v>
      </c>
      <c r="V26" s="840">
        <f t="shared" si="7"/>
        <v>216</v>
      </c>
      <c r="W26" s="840">
        <f t="shared" si="7"/>
        <v>180</v>
      </c>
    </row>
    <row r="27" spans="1:23" s="183" customFormat="1" x14ac:dyDescent="0.25">
      <c r="A27" s="856"/>
      <c r="B27" s="630">
        <v>1.0999999999999999E-2</v>
      </c>
      <c r="C27" s="630">
        <v>0.25</v>
      </c>
      <c r="D27" s="656"/>
      <c r="E27" s="631">
        <v>330</v>
      </c>
      <c r="F27" s="631">
        <v>360</v>
      </c>
      <c r="G27" s="656"/>
      <c r="H27" s="632">
        <f t="shared" si="5"/>
        <v>30</v>
      </c>
      <c r="I27" s="633">
        <f t="shared" si="6"/>
        <v>9.0909090909090912E-2</v>
      </c>
      <c r="J27" s="656"/>
      <c r="K27" s="657"/>
      <c r="L27" s="648" t="s">
        <v>718</v>
      </c>
      <c r="M27" s="649" t="s">
        <v>17</v>
      </c>
      <c r="N27" s="650" t="str">
        <f t="shared" si="8"/>
        <v>.011" - .250"</v>
      </c>
      <c r="O27" s="649">
        <v>240</v>
      </c>
      <c r="P27" s="651">
        <v>7</v>
      </c>
      <c r="Q27" s="1351">
        <f t="shared" si="9"/>
        <v>360</v>
      </c>
      <c r="S27" s="631">
        <v>315</v>
      </c>
      <c r="U27" s="840">
        <f t="shared" si="10"/>
        <v>251.99999999999997</v>
      </c>
      <c r="V27" s="840">
        <f t="shared" si="7"/>
        <v>216</v>
      </c>
      <c r="W27" s="840">
        <f t="shared" si="7"/>
        <v>180</v>
      </c>
    </row>
    <row r="28" spans="1:23" s="183" customFormat="1" x14ac:dyDescent="0.25">
      <c r="A28" s="856"/>
      <c r="B28" s="630">
        <v>6.0999999999999999E-2</v>
      </c>
      <c r="C28" s="630">
        <v>0.25</v>
      </c>
      <c r="D28" s="656"/>
      <c r="E28" s="631">
        <v>235</v>
      </c>
      <c r="F28" s="631">
        <v>260</v>
      </c>
      <c r="G28" s="656"/>
      <c r="H28" s="632">
        <f t="shared" si="5"/>
        <v>25</v>
      </c>
      <c r="I28" s="633">
        <f t="shared" si="6"/>
        <v>0.10638297872340426</v>
      </c>
      <c r="J28" s="656"/>
      <c r="K28" s="657"/>
      <c r="L28" s="644" t="s">
        <v>717</v>
      </c>
      <c r="M28" s="645" t="s">
        <v>14</v>
      </c>
      <c r="N28" s="647" t="str">
        <f t="shared" si="8"/>
        <v>.061" - .250"</v>
      </c>
      <c r="O28" s="645">
        <v>190</v>
      </c>
      <c r="P28" s="647">
        <v>7</v>
      </c>
      <c r="Q28" s="1349">
        <f t="shared" si="9"/>
        <v>260</v>
      </c>
      <c r="S28" s="631">
        <v>225</v>
      </c>
      <c r="U28" s="839">
        <f t="shared" si="10"/>
        <v>182</v>
      </c>
      <c r="V28" s="839">
        <f t="shared" si="7"/>
        <v>156</v>
      </c>
      <c r="W28" s="839">
        <f t="shared" si="7"/>
        <v>130</v>
      </c>
    </row>
    <row r="29" spans="1:23" s="183" customFormat="1" x14ac:dyDescent="0.25">
      <c r="A29" s="856"/>
      <c r="B29" s="630">
        <v>6.0999999999999999E-2</v>
      </c>
      <c r="C29" s="630">
        <v>0.25</v>
      </c>
      <c r="D29" s="656"/>
      <c r="E29" s="631">
        <v>235</v>
      </c>
      <c r="F29" s="631">
        <v>260</v>
      </c>
      <c r="G29" s="656"/>
      <c r="H29" s="632">
        <f t="shared" si="5"/>
        <v>25</v>
      </c>
      <c r="I29" s="633">
        <f t="shared" si="6"/>
        <v>0.10638297872340426</v>
      </c>
      <c r="J29" s="656"/>
      <c r="K29" s="657"/>
      <c r="L29" s="644" t="s">
        <v>716</v>
      </c>
      <c r="M29" s="645" t="s">
        <v>17</v>
      </c>
      <c r="N29" s="647" t="str">
        <f t="shared" si="8"/>
        <v>.061" - .250"</v>
      </c>
      <c r="O29" s="645">
        <v>190</v>
      </c>
      <c r="P29" s="647">
        <v>7</v>
      </c>
      <c r="Q29" s="1349">
        <f t="shared" si="9"/>
        <v>260</v>
      </c>
      <c r="S29" s="631">
        <v>225</v>
      </c>
      <c r="U29" s="839">
        <f t="shared" si="10"/>
        <v>182</v>
      </c>
      <c r="V29" s="839">
        <f t="shared" si="7"/>
        <v>156</v>
      </c>
      <c r="W29" s="839">
        <f t="shared" si="7"/>
        <v>130</v>
      </c>
    </row>
    <row r="30" spans="1:23" s="183" customFormat="1" x14ac:dyDescent="0.25">
      <c r="A30" s="856"/>
      <c r="B30" s="630">
        <v>0.251</v>
      </c>
      <c r="C30" s="630">
        <v>0.5</v>
      </c>
      <c r="D30" s="656"/>
      <c r="E30" s="631">
        <v>345</v>
      </c>
      <c r="F30" s="631">
        <v>380</v>
      </c>
      <c r="G30" s="656"/>
      <c r="H30" s="632">
        <f t="shared" si="5"/>
        <v>35</v>
      </c>
      <c r="I30" s="633">
        <f t="shared" si="6"/>
        <v>0.10144927536231885</v>
      </c>
      <c r="J30" s="656"/>
      <c r="K30" s="657"/>
      <c r="L30" s="698" t="s">
        <v>715</v>
      </c>
      <c r="M30" s="699" t="s">
        <v>14</v>
      </c>
      <c r="N30" s="699" t="str">
        <f t="shared" si="8"/>
        <v>.251" - .500"</v>
      </c>
      <c r="O30" s="699">
        <v>250</v>
      </c>
      <c r="P30" s="699">
        <v>23</v>
      </c>
      <c r="Q30" s="1350">
        <f t="shared" si="9"/>
        <v>380</v>
      </c>
      <c r="S30" s="631">
        <v>335</v>
      </c>
      <c r="U30" s="840">
        <f t="shared" si="10"/>
        <v>266</v>
      </c>
      <c r="V30" s="840">
        <f t="shared" si="7"/>
        <v>228</v>
      </c>
      <c r="W30" s="840">
        <f t="shared" si="7"/>
        <v>190</v>
      </c>
    </row>
    <row r="31" spans="1:23" s="183" customFormat="1" x14ac:dyDescent="0.25">
      <c r="A31" s="856"/>
      <c r="B31" s="630">
        <v>0.251</v>
      </c>
      <c r="C31" s="630">
        <v>0.5</v>
      </c>
      <c r="D31" s="656"/>
      <c r="E31" s="631">
        <v>345</v>
      </c>
      <c r="F31" s="631">
        <v>380</v>
      </c>
      <c r="G31" s="656"/>
      <c r="H31" s="632">
        <f t="shared" si="5"/>
        <v>35</v>
      </c>
      <c r="I31" s="633">
        <f t="shared" si="6"/>
        <v>0.10144927536231885</v>
      </c>
      <c r="J31" s="656"/>
      <c r="K31" s="657"/>
      <c r="L31" s="648" t="s">
        <v>714</v>
      </c>
      <c r="M31" s="649" t="s">
        <v>17</v>
      </c>
      <c r="N31" s="650" t="str">
        <f t="shared" si="8"/>
        <v>.251" - .500"</v>
      </c>
      <c r="O31" s="649">
        <v>250</v>
      </c>
      <c r="P31" s="651">
        <v>23</v>
      </c>
      <c r="Q31" s="1351">
        <f t="shared" si="9"/>
        <v>380</v>
      </c>
      <c r="S31" s="631">
        <v>335</v>
      </c>
      <c r="U31" s="840">
        <f t="shared" si="10"/>
        <v>266</v>
      </c>
      <c r="V31" s="840">
        <f t="shared" si="7"/>
        <v>228</v>
      </c>
      <c r="W31" s="840">
        <f t="shared" si="7"/>
        <v>190</v>
      </c>
    </row>
    <row r="32" spans="1:23" s="183" customFormat="1" x14ac:dyDescent="0.25">
      <c r="A32" s="856"/>
      <c r="B32" s="630">
        <v>0.501</v>
      </c>
      <c r="C32" s="630">
        <v>0.625</v>
      </c>
      <c r="D32" s="656"/>
      <c r="E32" s="631">
        <v>405</v>
      </c>
      <c r="F32" s="631">
        <v>450</v>
      </c>
      <c r="G32" s="656"/>
      <c r="H32" s="632">
        <f t="shared" si="5"/>
        <v>45</v>
      </c>
      <c r="I32" s="633">
        <f t="shared" si="6"/>
        <v>0.1111111111111111</v>
      </c>
      <c r="J32" s="656"/>
      <c r="K32" s="657"/>
      <c r="L32" s="644" t="s">
        <v>713</v>
      </c>
      <c r="M32" s="645" t="s">
        <v>14</v>
      </c>
      <c r="N32" s="647" t="str">
        <f t="shared" si="8"/>
        <v>.501" - .625"</v>
      </c>
      <c r="O32" s="645">
        <v>125</v>
      </c>
      <c r="P32" s="647">
        <v>24</v>
      </c>
      <c r="Q32" s="1349">
        <f t="shared" si="9"/>
        <v>450</v>
      </c>
      <c r="S32" s="631">
        <v>410</v>
      </c>
      <c r="U32" s="839">
        <f t="shared" si="10"/>
        <v>315</v>
      </c>
      <c r="V32" s="839">
        <f t="shared" si="7"/>
        <v>270</v>
      </c>
      <c r="W32" s="839">
        <f t="shared" si="7"/>
        <v>225</v>
      </c>
    </row>
    <row r="33" spans="1:23" s="183" customFormat="1" x14ac:dyDescent="0.25">
      <c r="A33" s="856"/>
      <c r="B33" s="630">
        <v>0.501</v>
      </c>
      <c r="C33" s="630">
        <v>0.625</v>
      </c>
      <c r="D33" s="656"/>
      <c r="E33" s="631">
        <v>405</v>
      </c>
      <c r="F33" s="631">
        <v>450</v>
      </c>
      <c r="G33" s="656"/>
      <c r="H33" s="632">
        <f t="shared" si="5"/>
        <v>45</v>
      </c>
      <c r="I33" s="633">
        <f t="shared" si="6"/>
        <v>0.1111111111111111</v>
      </c>
      <c r="J33" s="656"/>
      <c r="K33" s="657"/>
      <c r="L33" s="644" t="s">
        <v>712</v>
      </c>
      <c r="M33" s="645" t="s">
        <v>17</v>
      </c>
      <c r="N33" s="647" t="str">
        <f t="shared" si="8"/>
        <v>.501" - .625"</v>
      </c>
      <c r="O33" s="645">
        <v>125</v>
      </c>
      <c r="P33" s="647">
        <v>24</v>
      </c>
      <c r="Q33" s="1349">
        <f t="shared" si="9"/>
        <v>450</v>
      </c>
      <c r="S33" s="631">
        <v>410</v>
      </c>
      <c r="U33" s="839">
        <f t="shared" si="10"/>
        <v>315</v>
      </c>
      <c r="V33" s="839">
        <f t="shared" si="7"/>
        <v>270</v>
      </c>
      <c r="W33" s="839">
        <f t="shared" si="7"/>
        <v>225</v>
      </c>
    </row>
    <row r="34" spans="1:23" s="183" customFormat="1" x14ac:dyDescent="0.25">
      <c r="A34" s="856"/>
      <c r="B34" s="630">
        <v>0.626</v>
      </c>
      <c r="C34" s="630">
        <v>0.75</v>
      </c>
      <c r="D34" s="656"/>
      <c r="E34" s="631">
        <v>450</v>
      </c>
      <c r="F34" s="631">
        <v>500</v>
      </c>
      <c r="G34" s="656"/>
      <c r="H34" s="632">
        <f t="shared" si="5"/>
        <v>50</v>
      </c>
      <c r="I34" s="633">
        <f t="shared" si="6"/>
        <v>0.1111111111111111</v>
      </c>
      <c r="J34" s="656"/>
      <c r="K34" s="657"/>
      <c r="L34" s="698" t="s">
        <v>711</v>
      </c>
      <c r="M34" s="699" t="s">
        <v>14</v>
      </c>
      <c r="N34" s="699" t="str">
        <f t="shared" si="8"/>
        <v>.626" - .750"</v>
      </c>
      <c r="O34" s="699">
        <v>125</v>
      </c>
      <c r="P34" s="699">
        <v>33</v>
      </c>
      <c r="Q34" s="1350">
        <f t="shared" si="9"/>
        <v>500</v>
      </c>
      <c r="S34" s="631">
        <v>430</v>
      </c>
      <c r="U34" s="840">
        <f t="shared" si="10"/>
        <v>350</v>
      </c>
      <c r="V34" s="840">
        <f t="shared" si="7"/>
        <v>300</v>
      </c>
      <c r="W34" s="840">
        <f t="shared" si="7"/>
        <v>250</v>
      </c>
    </row>
    <row r="35" spans="1:23" s="183" customFormat="1" ht="15.75" thickBot="1" x14ac:dyDescent="0.3">
      <c r="A35" s="856"/>
      <c r="B35" s="630">
        <v>0.626</v>
      </c>
      <c r="C35" s="630">
        <v>0.75</v>
      </c>
      <c r="D35" s="656"/>
      <c r="E35" s="631">
        <v>450</v>
      </c>
      <c r="F35" s="631">
        <v>500</v>
      </c>
      <c r="G35" s="656"/>
      <c r="H35" s="632">
        <f t="shared" si="5"/>
        <v>50</v>
      </c>
      <c r="I35" s="633">
        <f t="shared" si="6"/>
        <v>0.1111111111111111</v>
      </c>
      <c r="J35" s="656"/>
      <c r="K35" s="657"/>
      <c r="L35" s="652" t="s">
        <v>710</v>
      </c>
      <c r="M35" s="653" t="s">
        <v>17</v>
      </c>
      <c r="N35" s="654" t="str">
        <f t="shared" si="8"/>
        <v>.626" - .750"</v>
      </c>
      <c r="O35" s="653">
        <v>125</v>
      </c>
      <c r="P35" s="655">
        <v>33</v>
      </c>
      <c r="Q35" s="1352">
        <f t="shared" si="9"/>
        <v>500</v>
      </c>
      <c r="S35" s="631">
        <v>430</v>
      </c>
      <c r="U35" s="840">
        <f t="shared" si="10"/>
        <v>350</v>
      </c>
      <c r="V35" s="840">
        <f t="shared" si="7"/>
        <v>300</v>
      </c>
      <c r="W35" s="840">
        <f t="shared" si="7"/>
        <v>250</v>
      </c>
    </row>
    <row r="36" spans="1:23" ht="15.75" thickBot="1" x14ac:dyDescent="0.3">
      <c r="D36" s="38"/>
      <c r="E36" s="628"/>
      <c r="F36" s="628"/>
      <c r="G36" s="38"/>
      <c r="H36" s="38"/>
      <c r="I36" s="38"/>
      <c r="J36" s="38"/>
      <c r="K36" s="17"/>
      <c r="M36" s="15"/>
      <c r="W36"/>
    </row>
    <row r="37" spans="1:23" x14ac:dyDescent="0.25">
      <c r="B37" s="351"/>
      <c r="C37" s="351"/>
      <c r="D37" s="2"/>
      <c r="F37" s="2"/>
      <c r="G37" s="2"/>
      <c r="H37" s="2"/>
      <c r="I37" s="2"/>
      <c r="J37" s="2"/>
      <c r="L37" s="592" t="s">
        <v>881</v>
      </c>
      <c r="M37" s="592"/>
      <c r="N37" s="592"/>
      <c r="O37" s="592"/>
      <c r="P37" s="592"/>
      <c r="Q37" s="593"/>
    </row>
    <row r="38" spans="1:23" s="183" customFormat="1" ht="30" x14ac:dyDescent="0.25">
      <c r="A38" s="856"/>
      <c r="B38" s="630"/>
      <c r="C38" s="630"/>
      <c r="D38" s="481"/>
      <c r="E38" s="631"/>
      <c r="F38" s="481"/>
      <c r="G38" s="481"/>
      <c r="H38" s="481"/>
      <c r="I38" s="481"/>
      <c r="J38" s="481"/>
      <c r="L38" s="145" t="s">
        <v>9</v>
      </c>
      <c r="M38" s="147" t="s">
        <v>10</v>
      </c>
      <c r="N38" s="149" t="s">
        <v>3</v>
      </c>
      <c r="O38" s="624" t="s">
        <v>11</v>
      </c>
      <c r="P38" s="625" t="s">
        <v>12</v>
      </c>
      <c r="Q38" s="1067" t="s">
        <v>568</v>
      </c>
      <c r="S38" s="695"/>
      <c r="W38" s="626"/>
    </row>
    <row r="39" spans="1:23" x14ac:dyDescent="0.25">
      <c r="B39" s="351">
        <v>1.0999999999999999E-2</v>
      </c>
      <c r="C39" s="351">
        <v>0.625</v>
      </c>
      <c r="D39" s="5"/>
      <c r="E39" s="346">
        <v>1395</v>
      </c>
      <c r="F39" s="346">
        <v>1500</v>
      </c>
      <c r="G39" s="5"/>
      <c r="H39" s="632">
        <f t="shared" ref="H39:H44" si="11">IF(F39=0,0,F39-E39)</f>
        <v>105</v>
      </c>
      <c r="I39" s="633">
        <f t="shared" ref="I39:I44" si="12">H39/E39</f>
        <v>7.5268817204301078E-2</v>
      </c>
      <c r="J39" s="5"/>
      <c r="L39" s="644" t="s">
        <v>707</v>
      </c>
      <c r="M39" s="645" t="s">
        <v>14</v>
      </c>
      <c r="N39" s="646" t="str">
        <f t="shared" ref="N39:N44" si="13">_xlfn.CONCAT(TEXT($B39,"#.000"),""""," - ",TEXT($C39,"#.000"),"""")</f>
        <v>.011" - .625"</v>
      </c>
      <c r="O39" s="645">
        <v>615</v>
      </c>
      <c r="P39" s="646">
        <v>87</v>
      </c>
      <c r="Q39" s="190">
        <f>$F39</f>
        <v>1500</v>
      </c>
      <c r="S39" s="346">
        <v>1375</v>
      </c>
    </row>
    <row r="40" spans="1:23" x14ac:dyDescent="0.25">
      <c r="B40" s="351">
        <f>B39</f>
        <v>1.0999999999999999E-2</v>
      </c>
      <c r="C40" s="351">
        <f>C39</f>
        <v>0.625</v>
      </c>
      <c r="D40" s="5"/>
      <c r="E40" s="346">
        <v>1395</v>
      </c>
      <c r="F40" s="346">
        <v>1500</v>
      </c>
      <c r="G40" s="5"/>
      <c r="H40" s="632">
        <f t="shared" si="11"/>
        <v>105</v>
      </c>
      <c r="I40" s="633">
        <f t="shared" si="12"/>
        <v>7.5268817204301078E-2</v>
      </c>
      <c r="J40" s="5"/>
      <c r="L40" s="644" t="s">
        <v>708</v>
      </c>
      <c r="M40" s="645" t="s">
        <v>17</v>
      </c>
      <c r="N40" s="647" t="str">
        <f t="shared" si="13"/>
        <v>.011" - .625"</v>
      </c>
      <c r="O40" s="645">
        <v>615</v>
      </c>
      <c r="P40" s="647">
        <v>87</v>
      </c>
      <c r="Q40" s="190">
        <f t="shared" ref="Q40:Q44" si="14">$F40</f>
        <v>1500</v>
      </c>
      <c r="S40" s="346">
        <v>1375</v>
      </c>
    </row>
    <row r="41" spans="1:23" x14ac:dyDescent="0.25">
      <c r="B41" s="351">
        <v>1.0999999999999999E-2</v>
      </c>
      <c r="C41" s="351">
        <v>0.75</v>
      </c>
      <c r="D41" s="5"/>
      <c r="E41" s="346">
        <v>1825</v>
      </c>
      <c r="F41" s="346">
        <v>2000</v>
      </c>
      <c r="G41" s="5"/>
      <c r="H41" s="632">
        <f t="shared" si="11"/>
        <v>175</v>
      </c>
      <c r="I41" s="633">
        <f t="shared" si="12"/>
        <v>9.5890410958904104E-2</v>
      </c>
      <c r="J41" s="5"/>
      <c r="L41" s="698" t="s">
        <v>705</v>
      </c>
      <c r="M41" s="699" t="s">
        <v>14</v>
      </c>
      <c r="N41" s="699" t="str">
        <f t="shared" si="13"/>
        <v>.011" - .750"</v>
      </c>
      <c r="O41" s="699">
        <v>740</v>
      </c>
      <c r="P41" s="699">
        <v>120</v>
      </c>
      <c r="Q41" s="1353">
        <f t="shared" si="14"/>
        <v>2000</v>
      </c>
      <c r="S41" s="346">
        <v>1815</v>
      </c>
    </row>
    <row r="42" spans="1:23" x14ac:dyDescent="0.25">
      <c r="B42" s="351">
        <v>1.0999999999999999E-2</v>
      </c>
      <c r="C42" s="351">
        <f>C41</f>
        <v>0.75</v>
      </c>
      <c r="D42" s="5"/>
      <c r="E42" s="346">
        <v>1825</v>
      </c>
      <c r="F42" s="346">
        <v>2000</v>
      </c>
      <c r="G42" s="5"/>
      <c r="H42" s="632">
        <f t="shared" si="11"/>
        <v>175</v>
      </c>
      <c r="I42" s="633">
        <f t="shared" si="12"/>
        <v>9.5890410958904104E-2</v>
      </c>
      <c r="J42" s="5"/>
      <c r="L42" s="648" t="s">
        <v>706</v>
      </c>
      <c r="M42" s="649" t="s">
        <v>17</v>
      </c>
      <c r="N42" s="650" t="str">
        <f t="shared" si="13"/>
        <v>.011" - .750"</v>
      </c>
      <c r="O42" s="649">
        <v>740</v>
      </c>
      <c r="P42" s="651">
        <v>120</v>
      </c>
      <c r="Q42" s="1354">
        <f t="shared" si="14"/>
        <v>2000</v>
      </c>
      <c r="S42" s="346">
        <v>1815</v>
      </c>
    </row>
    <row r="43" spans="1:23" x14ac:dyDescent="0.25">
      <c r="B43" s="351">
        <v>6.0999999999999999E-2</v>
      </c>
      <c r="C43" s="351">
        <v>0.75</v>
      </c>
      <c r="D43" s="5"/>
      <c r="E43" s="346">
        <v>1730</v>
      </c>
      <c r="F43" s="346">
        <v>1900</v>
      </c>
      <c r="G43" s="5"/>
      <c r="H43" s="632">
        <f t="shared" si="11"/>
        <v>170</v>
      </c>
      <c r="I43" s="633">
        <f t="shared" si="12"/>
        <v>9.8265895953757232E-2</v>
      </c>
      <c r="J43" s="5"/>
      <c r="L43" s="644" t="s">
        <v>703</v>
      </c>
      <c r="M43" s="645" t="s">
        <v>14</v>
      </c>
      <c r="N43" s="647" t="str">
        <f t="shared" si="13"/>
        <v>.061" - .750"</v>
      </c>
      <c r="O43" s="645">
        <v>690</v>
      </c>
      <c r="P43" s="647">
        <v>120</v>
      </c>
      <c r="Q43" s="190">
        <f t="shared" si="14"/>
        <v>1900</v>
      </c>
      <c r="S43" s="346">
        <v>1690</v>
      </c>
    </row>
    <row r="44" spans="1:23" ht="15.75" thickBot="1" x14ac:dyDescent="0.3">
      <c r="B44" s="351">
        <f>B43</f>
        <v>6.0999999999999999E-2</v>
      </c>
      <c r="C44" s="351">
        <f>C43</f>
        <v>0.75</v>
      </c>
      <c r="D44" s="5"/>
      <c r="E44" s="346">
        <v>1730</v>
      </c>
      <c r="F44" s="346">
        <v>1900</v>
      </c>
      <c r="G44" s="5"/>
      <c r="H44" s="632">
        <f t="shared" si="11"/>
        <v>170</v>
      </c>
      <c r="I44" s="633">
        <f t="shared" si="12"/>
        <v>9.8265895953757232E-2</v>
      </c>
      <c r="J44" s="5"/>
      <c r="L44" s="927" t="s">
        <v>704</v>
      </c>
      <c r="M44" s="928" t="s">
        <v>17</v>
      </c>
      <c r="N44" s="929" t="str">
        <f t="shared" si="13"/>
        <v>.061" - .750"</v>
      </c>
      <c r="O44" s="928">
        <v>690</v>
      </c>
      <c r="P44" s="929">
        <v>120</v>
      </c>
      <c r="Q44" s="926">
        <f t="shared" si="14"/>
        <v>1900</v>
      </c>
      <c r="S44" s="346">
        <v>1690</v>
      </c>
    </row>
    <row r="45" spans="1:23" x14ac:dyDescent="0.25">
      <c r="B45" s="351"/>
      <c r="C45" s="351"/>
      <c r="D45" s="5"/>
      <c r="E45" s="628"/>
      <c r="F45" s="5"/>
      <c r="G45" s="5"/>
      <c r="H45" s="5"/>
      <c r="I45" s="5"/>
      <c r="J45" s="5"/>
      <c r="O45" s="627"/>
      <c r="Q45" s="626"/>
    </row>
    <row r="46" spans="1:23" x14ac:dyDescent="0.25">
      <c r="B46" s="351"/>
      <c r="C46" s="351"/>
      <c r="D46" s="2"/>
      <c r="E46" s="628"/>
      <c r="F46" s="2"/>
      <c r="G46" s="2"/>
      <c r="H46" s="2"/>
      <c r="I46" s="2"/>
      <c r="J46" s="2"/>
      <c r="L46" s="17" t="s">
        <v>966</v>
      </c>
    </row>
    <row r="47" spans="1:23" x14ac:dyDescent="0.25">
      <c r="E47" s="628"/>
    </row>
  </sheetData>
  <sheetProtection algorithmName="SHA-512" hashValue="jt/U0WL0yUorzfW2iF2MMaZz+FA3dkxUCUrC0AeLzgPjxc6Vz/LcTMV7uF9PUdH4f2Rk5IWObi71X5H++cNQyg==" saltValue="C70h1B7CHRrU84sZUgvUmw==" spinCount="100000" sheet="1" objects="1" scenarios="1"/>
  <conditionalFormatting sqref="L7:L9">
    <cfRule type="expression" dxfId="1" priority="1">
      <formula>#REF!="y"</formula>
    </cfRule>
  </conditionalFormatting>
  <pageMargins left="0.25" right="0.25" top="0.5" bottom="0.75" header="0.3" footer="0.3"/>
  <pageSetup scale="3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1D860-192C-409F-B5FB-DDD77B82C527}">
  <sheetPr>
    <outlinePr summaryBelow="0"/>
    <pageSetUpPr autoPageBreaks="0" fitToPage="1"/>
  </sheetPr>
  <dimension ref="A1:AW24"/>
  <sheetViews>
    <sheetView showGridLines="0" zoomScale="90" zoomScaleNormal="90" workbookViewId="0">
      <selection activeCell="X50" sqref="X50"/>
    </sheetView>
  </sheetViews>
  <sheetFormatPr defaultColWidth="8.85546875" defaultRowHeight="15" outlineLevelCol="1" x14ac:dyDescent="0.25"/>
  <cols>
    <col min="1" max="1" width="2.7109375" style="1080" customWidth="1"/>
    <col min="2" max="3" width="9" style="1080" hidden="1" customWidth="1" outlineLevel="1"/>
    <col min="4" max="4" width="2.7109375" style="1082" hidden="1" customWidth="1" outlineLevel="1"/>
    <col min="5" max="6" width="10.5703125" style="1080" hidden="1" customWidth="1" outlineLevel="1"/>
    <col min="7" max="7" width="1.7109375" style="1082" hidden="1" customWidth="1" outlineLevel="1"/>
    <col min="8" max="8" width="11.28515625" style="1080" hidden="1" customWidth="1" outlineLevel="1"/>
    <col min="9" max="9" width="10" style="1080" hidden="1" customWidth="1" outlineLevel="1"/>
    <col min="10" max="10" width="10.28515625" style="1080" hidden="1" customWidth="1" outlineLevel="1"/>
    <col min="11" max="11" width="10.7109375" style="1080" hidden="1" customWidth="1" outlineLevel="1"/>
    <col min="12" max="12" width="1.7109375" style="1080" hidden="1" customWidth="1" outlineLevel="1"/>
    <col min="13" max="14" width="10.7109375" style="1080" hidden="1" customWidth="1" outlineLevel="1"/>
    <col min="15" max="15" width="1.7109375" style="1080" hidden="1" customWidth="1" outlineLevel="1"/>
    <col min="16" max="19" width="11.42578125" style="1080" hidden="1" customWidth="1" outlineLevel="1"/>
    <col min="20" max="20" width="1.7109375" style="1082" hidden="1" customWidth="1" outlineLevel="1"/>
    <col min="21" max="22" width="10.85546875" style="1082" hidden="1" customWidth="1" outlineLevel="1"/>
    <col min="23" max="23" width="2.7109375" style="1080" hidden="1" customWidth="1" outlineLevel="1"/>
    <col min="24" max="24" width="18.5703125" style="1080" customWidth="1" collapsed="1"/>
    <col min="25" max="25" width="14.42578125" style="1080" customWidth="1"/>
    <col min="26" max="27" width="17.42578125" style="1080" customWidth="1"/>
    <col min="28" max="28" width="10" style="1080" customWidth="1"/>
    <col min="29" max="29" width="1.7109375" style="1080" hidden="1" customWidth="1" outlineLevel="1"/>
    <col min="30" max="30" width="22.85546875" style="1080" hidden="1" customWidth="1" outlineLevel="1"/>
    <col min="31" max="32" width="22.85546875" style="1081" hidden="1" customWidth="1" outlineLevel="1"/>
    <col min="33" max="33" width="2.7109375" style="1081" hidden="1" customWidth="1" outlineLevel="1"/>
    <col min="34" max="35" width="14.28515625" style="1081" hidden="1" customWidth="1" outlineLevel="1"/>
    <col min="36" max="37" width="14.28515625" style="1080" hidden="1" customWidth="1" outlineLevel="1"/>
    <col min="38" max="38" width="2.7109375" style="1080" hidden="1" customWidth="1" outlineLevel="1"/>
    <col min="39" max="42" width="13.5703125" style="1080" hidden="1" customWidth="1" outlineLevel="1"/>
    <col min="43" max="43" width="17.28515625" style="1080" hidden="1" customWidth="1" outlineLevel="1"/>
    <col min="44" max="44" width="8.85546875" style="1080" collapsed="1"/>
    <col min="45" max="16384" width="8.85546875" style="1080"/>
  </cols>
  <sheetData>
    <row r="1" spans="1:49" ht="9.9499999999999993" customHeight="1" x14ac:dyDescent="0.25"/>
    <row r="2" spans="1:49" s="1081" customFormat="1" ht="21" x14ac:dyDescent="0.35">
      <c r="A2" s="1080"/>
      <c r="B2"/>
      <c r="C2"/>
      <c r="D2"/>
      <c r="E2"/>
      <c r="F2"/>
      <c r="G2" s="1082"/>
      <c r="H2" s="1080"/>
      <c r="I2" s="1080"/>
      <c r="J2" s="1080"/>
      <c r="K2" s="1080"/>
      <c r="L2" s="1080"/>
      <c r="M2" s="1080"/>
      <c r="N2" s="1080"/>
      <c r="O2" s="1080"/>
      <c r="P2" s="1080"/>
      <c r="Q2" s="1080"/>
      <c r="R2" s="1080"/>
      <c r="S2" s="1080"/>
      <c r="T2" s="1082"/>
      <c r="U2" s="1082"/>
      <c r="V2" s="1082"/>
      <c r="W2" s="1080"/>
      <c r="X2" s="1" t="s">
        <v>1317</v>
      </c>
      <c r="Y2" s="1159"/>
      <c r="Z2" s="1158"/>
      <c r="AA2" s="1080"/>
      <c r="AB2" s="1080"/>
      <c r="AC2" s="1080"/>
      <c r="AJ2" s="1080"/>
      <c r="AK2" s="1080"/>
      <c r="AL2" s="1080"/>
      <c r="AM2" s="1080"/>
      <c r="AN2" s="1080"/>
      <c r="AO2" s="1080"/>
      <c r="AP2" s="1080"/>
      <c r="AQ2" s="1080"/>
      <c r="AR2" s="1080"/>
      <c r="AS2" s="1080"/>
      <c r="AT2" s="1080"/>
      <c r="AU2" s="1080"/>
      <c r="AV2" s="1080"/>
      <c r="AW2" s="1080"/>
    </row>
    <row r="3" spans="1:49" ht="15.75" x14ac:dyDescent="0.25">
      <c r="D3" s="1080"/>
      <c r="G3" s="1080"/>
      <c r="T3" s="1080"/>
      <c r="U3" s="1080"/>
      <c r="V3" s="1080"/>
      <c r="X3" s="9" t="s">
        <v>1412</v>
      </c>
      <c r="AE3" s="1080"/>
      <c r="AF3" s="1080"/>
      <c r="AG3" s="1080"/>
      <c r="AH3" s="1080"/>
      <c r="AI3" s="1080"/>
    </row>
    <row r="4" spans="1:49" s="1081" customFormat="1" x14ac:dyDescent="0.25">
      <c r="A4" s="1080"/>
      <c r="J4" s="1153"/>
      <c r="K4" s="1153"/>
      <c r="L4" s="1153"/>
      <c r="M4" s="1153"/>
      <c r="N4" s="1153"/>
      <c r="O4" s="1153"/>
      <c r="R4" s="1153"/>
      <c r="S4" s="1080"/>
      <c r="T4" s="1080"/>
      <c r="U4" s="1080"/>
      <c r="V4" s="1080"/>
      <c r="W4" s="1080"/>
      <c r="X4" s="1150"/>
      <c r="Y4" s="1080"/>
      <c r="Z4" s="1080"/>
      <c r="AA4" s="1080"/>
      <c r="AB4" s="1080"/>
      <c r="AC4" s="1080"/>
      <c r="AD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</row>
    <row r="5" spans="1:49" s="1081" customFormat="1" x14ac:dyDescent="0.25">
      <c r="A5" s="1080"/>
      <c r="B5" s="1157" t="s">
        <v>859</v>
      </c>
      <c r="C5" s="1157" t="s">
        <v>860</v>
      </c>
      <c r="J5" s="1153"/>
      <c r="K5" s="1153"/>
      <c r="L5" s="1153"/>
      <c r="M5" s="1153"/>
      <c r="N5" s="1153"/>
      <c r="O5" s="1153"/>
      <c r="R5" s="1153"/>
      <c r="S5" s="1080"/>
      <c r="T5" s="1082"/>
      <c r="U5" s="1082"/>
      <c r="V5" s="1082"/>
      <c r="W5" s="1080"/>
      <c r="X5" s="1085" t="s">
        <v>965</v>
      </c>
      <c r="Y5" s="1080"/>
      <c r="Z5" s="1080"/>
      <c r="AA5" s="1080"/>
      <c r="AB5" s="1080"/>
      <c r="AC5" s="1080"/>
      <c r="AD5" s="1080"/>
      <c r="AJ5" s="1080"/>
      <c r="AK5" s="1080"/>
      <c r="AL5" s="1080"/>
      <c r="AM5" s="1080"/>
      <c r="AN5" s="1080"/>
      <c r="AO5" s="1080"/>
      <c r="AP5" s="1080"/>
      <c r="AQ5" s="1080"/>
      <c r="AR5" s="1080"/>
      <c r="AS5" s="1080"/>
      <c r="AT5" s="1080"/>
      <c r="AU5" s="1080"/>
      <c r="AV5" s="1080"/>
      <c r="AW5" s="1080"/>
    </row>
    <row r="6" spans="1:49" s="1081" customFormat="1" x14ac:dyDescent="0.25">
      <c r="A6" s="1080"/>
      <c r="B6" s="1080"/>
      <c r="C6" s="1080"/>
      <c r="H6" s="1080"/>
      <c r="I6" s="1080"/>
      <c r="J6" s="1080"/>
      <c r="K6" s="1080"/>
      <c r="L6" s="1080"/>
      <c r="M6" s="1080"/>
      <c r="N6" s="1080"/>
      <c r="O6" s="1080"/>
      <c r="P6" s="1080"/>
      <c r="Q6" s="1080"/>
      <c r="R6" s="1080"/>
      <c r="S6" s="1080"/>
      <c r="T6" s="1082"/>
      <c r="U6" s="1082"/>
      <c r="V6" s="1082"/>
      <c r="W6" s="1080"/>
      <c r="X6" s="1150"/>
      <c r="Y6" s="1080"/>
      <c r="Z6" s="1080"/>
      <c r="AA6" s="1080"/>
      <c r="AB6" s="1080"/>
      <c r="AC6" s="1080"/>
      <c r="AD6" s="1080"/>
      <c r="AJ6" s="1080"/>
      <c r="AK6" s="1080"/>
      <c r="AL6" s="1080"/>
      <c r="AM6" s="1080"/>
      <c r="AN6" s="1080"/>
      <c r="AO6" s="1080"/>
      <c r="AP6" s="1080"/>
      <c r="AQ6" s="1080"/>
      <c r="AR6" s="1080"/>
      <c r="AS6" s="1080"/>
      <c r="AT6" s="1080"/>
      <c r="AU6" s="1080"/>
      <c r="AV6" s="1080"/>
      <c r="AW6" s="1080"/>
    </row>
    <row r="7" spans="1:49" s="1081" customFormat="1" x14ac:dyDescent="0.25">
      <c r="A7" s="1080"/>
      <c r="B7" s="1156">
        <v>215</v>
      </c>
      <c r="C7" s="1156" t="s">
        <v>808</v>
      </c>
      <c r="H7" s="1141" t="s">
        <v>924</v>
      </c>
      <c r="M7" s="1080"/>
      <c r="N7" s="1080"/>
      <c r="O7" s="1080"/>
      <c r="P7" s="1088" t="s">
        <v>635</v>
      </c>
      <c r="Q7" s="1118" t="s">
        <v>879</v>
      </c>
      <c r="R7" s="1082"/>
      <c r="S7" s="1080"/>
      <c r="W7" s="1080"/>
      <c r="X7" s="1088" t="str">
        <f>_xlfn.CONCAT($P$7,"  ",Q7)</f>
        <v>•  Class ZZ (.0002" tolerance)</v>
      </c>
      <c r="Y7" s="1151"/>
      <c r="Z7" s="1150"/>
      <c r="AB7" s="1080"/>
      <c r="AC7" s="1080"/>
      <c r="AD7" s="1080"/>
      <c r="AJ7" s="1080"/>
      <c r="AK7" s="1080"/>
      <c r="AL7" s="1080"/>
      <c r="AM7" s="1080"/>
      <c r="AN7" s="1080"/>
      <c r="AO7" s="1080"/>
      <c r="AP7" s="1080"/>
      <c r="AQ7" s="1080"/>
      <c r="AR7" s="1080"/>
      <c r="AS7" s="1080"/>
      <c r="AT7" s="1080"/>
      <c r="AU7" s="1080"/>
      <c r="AV7" s="1080"/>
      <c r="AW7" s="1080"/>
    </row>
    <row r="8" spans="1:49" s="1081" customFormat="1" x14ac:dyDescent="0.25">
      <c r="A8" s="1080"/>
      <c r="B8" s="1156">
        <v>216</v>
      </c>
      <c r="C8" s="1156" t="s">
        <v>809</v>
      </c>
      <c r="F8" s="1080"/>
      <c r="G8" s="1082"/>
      <c r="H8" s="1155" t="s">
        <v>740</v>
      </c>
      <c r="I8" s="1088"/>
      <c r="J8" s="1154"/>
      <c r="K8" s="1088"/>
      <c r="M8" s="1080"/>
      <c r="N8" s="1080"/>
      <c r="O8" s="1080"/>
      <c r="P8" s="1088"/>
      <c r="Q8" s="1153" t="s">
        <v>725</v>
      </c>
      <c r="R8" s="1082"/>
      <c r="S8" s="1080"/>
      <c r="W8" s="1080"/>
      <c r="X8" s="1088" t="str">
        <f>_xlfn.CONCAT($P$7,"  ",Q8)</f>
        <v>•  Handles marked with class, size, and tolerance direction</v>
      </c>
      <c r="Y8" s="1151"/>
      <c r="Z8" s="1150"/>
      <c r="AA8" s="1080"/>
      <c r="AB8" s="1080"/>
      <c r="AC8" s="1080"/>
      <c r="AD8" s="1080"/>
      <c r="AJ8" s="1080"/>
      <c r="AK8" s="1080"/>
      <c r="AL8" s="1080"/>
      <c r="AM8" s="1080"/>
      <c r="AN8" s="1080"/>
      <c r="AO8" s="1080"/>
      <c r="AP8" s="1080"/>
      <c r="AQ8" s="1080"/>
      <c r="AR8" s="1080"/>
      <c r="AS8" s="1080"/>
      <c r="AT8" s="1080"/>
      <c r="AU8" s="1080"/>
      <c r="AV8" s="1080"/>
      <c r="AW8" s="1080"/>
    </row>
    <row r="9" spans="1:49" s="1081" customFormat="1" x14ac:dyDescent="0.25">
      <c r="A9" s="1080"/>
      <c r="G9" s="1080"/>
      <c r="H9" s="1141" t="s">
        <v>925</v>
      </c>
      <c r="M9" s="1080"/>
      <c r="N9" s="1080"/>
      <c r="O9" s="1080"/>
      <c r="P9" s="1080"/>
      <c r="Q9" s="1153" t="s">
        <v>1345</v>
      </c>
      <c r="R9" s="1082"/>
      <c r="S9" s="1080"/>
      <c r="T9" s="1082"/>
      <c r="U9" s="1082"/>
      <c r="V9" s="1082"/>
      <c r="W9" s="1080"/>
      <c r="X9" s="1088" t="str">
        <f>_xlfn.CONCAT($P$7,"  ",Q9)</f>
        <v>•  Custom marking available – $15 per handle flat</v>
      </c>
      <c r="Y9" s="1151"/>
      <c r="Z9" s="1150"/>
      <c r="AA9" s="1080"/>
      <c r="AB9" s="1080"/>
      <c r="AC9" s="1080"/>
      <c r="AD9" s="1080"/>
      <c r="AJ9" s="1080"/>
      <c r="AK9" s="1152">
        <v>0.2</v>
      </c>
      <c r="AL9" s="1080"/>
      <c r="AM9" s="1080"/>
      <c r="AN9" s="1080"/>
      <c r="AO9" s="1080"/>
      <c r="AP9" s="1152">
        <v>0.2</v>
      </c>
      <c r="AQ9" s="1080"/>
      <c r="AR9" s="1080"/>
      <c r="AS9" s="1080"/>
      <c r="AT9" s="1080"/>
      <c r="AU9" s="1080"/>
      <c r="AV9" s="1080"/>
      <c r="AW9" s="1080"/>
    </row>
    <row r="10" spans="1:49" s="1081" customFormat="1" x14ac:dyDescent="0.25">
      <c r="A10" s="1080"/>
      <c r="B10" s="1080"/>
      <c r="C10" s="1085"/>
      <c r="D10" s="1082"/>
      <c r="E10" s="1080"/>
      <c r="F10" s="1080"/>
      <c r="G10" s="1082"/>
      <c r="H10" s="1080"/>
      <c r="I10" s="1080"/>
      <c r="J10" s="1080"/>
      <c r="K10" s="1080"/>
      <c r="L10" s="1080"/>
      <c r="M10" s="1080"/>
      <c r="N10" s="1080"/>
      <c r="O10" s="1080"/>
      <c r="P10" s="1080"/>
      <c r="Q10" s="1080"/>
      <c r="R10" s="1080"/>
      <c r="S10" s="1080"/>
      <c r="T10" s="1082"/>
      <c r="U10" s="1082"/>
      <c r="V10" s="1082"/>
      <c r="W10" s="1080"/>
      <c r="X10" s="1080"/>
      <c r="Y10" s="1151"/>
      <c r="Z10" s="1150"/>
      <c r="AA10" s="1080"/>
      <c r="AB10" s="1080"/>
      <c r="AC10" s="1080"/>
      <c r="AD10" s="1080"/>
      <c r="AJ10" s="1080"/>
      <c r="AK10" s="1080"/>
      <c r="AL10" s="1080"/>
      <c r="AM10" s="1080"/>
      <c r="AN10" s="1080"/>
      <c r="AO10" s="1080"/>
      <c r="AP10" s="1080"/>
      <c r="AQ10" s="1080"/>
      <c r="AR10" s="1080"/>
      <c r="AS10" s="1080"/>
      <c r="AT10" s="1080"/>
      <c r="AU10" s="1080"/>
      <c r="AV10" s="1080"/>
      <c r="AW10" s="1080"/>
    </row>
    <row r="11" spans="1:49" s="1081" customFormat="1" ht="6" customHeight="1" thickBot="1" x14ac:dyDescent="0.3">
      <c r="A11" s="1080"/>
      <c r="C11" s="1085"/>
      <c r="D11" s="1082"/>
      <c r="H11" s="1080"/>
      <c r="I11" s="1080"/>
      <c r="J11" s="1080"/>
      <c r="K11" s="1080"/>
      <c r="L11" s="1080"/>
      <c r="M11" s="1080"/>
      <c r="N11" s="1080"/>
      <c r="O11" s="1080"/>
      <c r="P11" s="1080"/>
      <c r="Q11" s="1080"/>
      <c r="R11" s="1080"/>
      <c r="S11" s="1080"/>
      <c r="T11" s="1082"/>
      <c r="U11" s="1082"/>
      <c r="V11" s="1082"/>
      <c r="W11" s="1080"/>
      <c r="X11" s="1149"/>
      <c r="Y11" s="1149"/>
      <c r="Z11" s="1149"/>
      <c r="AA11" s="1080"/>
      <c r="AB11" s="1080"/>
      <c r="AC11" s="1080"/>
      <c r="AD11" s="1080"/>
      <c r="AJ11" s="1080"/>
      <c r="AK11" s="1080"/>
      <c r="AL11" s="1080"/>
      <c r="AM11" s="1080"/>
      <c r="AN11" s="1080"/>
      <c r="AO11" s="1080"/>
      <c r="AP11" s="1080"/>
      <c r="AQ11" s="1080"/>
      <c r="AR11" s="1080"/>
      <c r="AS11" s="1080"/>
      <c r="AT11" s="1080"/>
    </row>
    <row r="12" spans="1:49" s="1088" customFormat="1" x14ac:dyDescent="0.25">
      <c r="A12" s="1080"/>
      <c r="B12" s="1105" t="s">
        <v>659</v>
      </c>
      <c r="C12" s="1142" t="s">
        <v>1323</v>
      </c>
      <c r="D12" s="1118"/>
      <c r="E12" s="1095"/>
      <c r="F12" s="1148">
        <v>2.0000000000000001E-4</v>
      </c>
      <c r="G12" s="1118"/>
      <c r="H12" s="1080"/>
      <c r="I12" s="1080"/>
      <c r="J12" s="1080"/>
      <c r="K12" s="1080"/>
      <c r="L12" s="1080"/>
      <c r="M12" s="1080"/>
      <c r="N12" s="1080"/>
      <c r="O12" s="1080"/>
      <c r="P12" s="1080"/>
      <c r="Q12" s="1080"/>
      <c r="R12" s="1080"/>
      <c r="S12" s="1080"/>
      <c r="T12" s="1118"/>
      <c r="U12" s="1118"/>
      <c r="V12" s="1118"/>
      <c r="W12" s="1095"/>
      <c r="X12" s="1167" t="str">
        <f>_xlfn.CONCAT("Black Ox CL. ",$B12," Assemblies (",TEXT($F12,".0000#"),"""",")")</f>
        <v>Black Ox CL. ZZ Assemblies (.0002")</v>
      </c>
      <c r="Y12" s="1145"/>
      <c r="Z12" s="1145"/>
      <c r="AA12" s="1147"/>
      <c r="AB12" s="1080"/>
      <c r="AC12" s="1080"/>
      <c r="AD12" s="1146" t="str">
        <f>X12</f>
        <v>Black Ox CL. ZZ Assemblies (.0002")</v>
      </c>
      <c r="AE12" s="1145"/>
      <c r="AF12" s="1147"/>
      <c r="AH12" s="1144" t="s">
        <v>185</v>
      </c>
      <c r="AI12" s="1137"/>
      <c r="AJ12" s="1143"/>
      <c r="AK12" s="1143"/>
      <c r="AL12" s="1095"/>
      <c r="AM12" s="1144" t="s">
        <v>199</v>
      </c>
      <c r="AN12" s="1137"/>
      <c r="AO12" s="1143"/>
      <c r="AP12" s="1143"/>
      <c r="AQ12" s="1095"/>
      <c r="AR12" s="1095"/>
      <c r="AS12" s="1095"/>
      <c r="AT12" s="1095"/>
    </row>
    <row r="13" spans="1:49" s="1088" customFormat="1" ht="18" x14ac:dyDescent="0.4">
      <c r="A13" s="1080"/>
      <c r="C13" s="1142"/>
      <c r="D13" s="1126"/>
      <c r="E13" s="1141" t="s">
        <v>567</v>
      </c>
      <c r="F13" s="1140">
        <v>1E-3</v>
      </c>
      <c r="H13" s="1138" t="s">
        <v>185</v>
      </c>
      <c r="I13" s="1138"/>
      <c r="J13" s="1138"/>
      <c r="K13" s="1137"/>
      <c r="L13" s="1139"/>
      <c r="M13" s="1139"/>
      <c r="N13" s="1139"/>
      <c r="O13" s="1080"/>
      <c r="P13" s="1138" t="s">
        <v>199</v>
      </c>
      <c r="Q13" s="1138"/>
      <c r="R13" s="1138"/>
      <c r="S13" s="1137"/>
      <c r="T13" s="1137"/>
      <c r="U13" s="1137"/>
      <c r="V13" s="1136"/>
      <c r="W13" s="1095"/>
      <c r="X13" s="1336" t="s">
        <v>3</v>
      </c>
      <c r="Y13" s="1338" t="s">
        <v>397</v>
      </c>
      <c r="Z13" s="1135" t="s">
        <v>568</v>
      </c>
      <c r="AA13" s="1134"/>
      <c r="AB13" s="1121"/>
      <c r="AC13" s="1121"/>
      <c r="AD13" s="1259" t="s">
        <v>1400</v>
      </c>
      <c r="AE13" s="1133"/>
      <c r="AF13" s="1251"/>
      <c r="AJ13" s="1095"/>
      <c r="AL13" s="1132"/>
      <c r="AM13" s="1132"/>
      <c r="AN13" s="1095"/>
      <c r="AO13" s="1095"/>
      <c r="AP13" s="1095"/>
      <c r="AQ13" s="1095"/>
      <c r="AR13" s="1095"/>
      <c r="AS13" s="1095"/>
      <c r="AT13" s="1095"/>
    </row>
    <row r="14" spans="1:49" s="1088" customFormat="1" ht="15.75" x14ac:dyDescent="0.25">
      <c r="A14" s="1080"/>
      <c r="C14" s="1131"/>
      <c r="D14" s="1126"/>
      <c r="E14" s="1130" t="s">
        <v>574</v>
      </c>
      <c r="F14" s="1130" t="s">
        <v>575</v>
      </c>
      <c r="G14" s="1129"/>
      <c r="H14" s="1127" t="s">
        <v>622</v>
      </c>
      <c r="I14" s="1127" t="s">
        <v>623</v>
      </c>
      <c r="J14" s="1124" t="s">
        <v>626</v>
      </c>
      <c r="K14" s="1125">
        <v>0.35</v>
      </c>
      <c r="L14" s="1128"/>
      <c r="M14" s="1125">
        <v>0.4</v>
      </c>
      <c r="N14" s="1124" t="s">
        <v>626</v>
      </c>
      <c r="O14" s="1080"/>
      <c r="P14" s="1127" t="s">
        <v>622</v>
      </c>
      <c r="Q14" s="1127" t="s">
        <v>623</v>
      </c>
      <c r="R14" s="1124" t="s">
        <v>626</v>
      </c>
      <c r="S14" s="1125">
        <v>0.35</v>
      </c>
      <c r="T14" s="1126"/>
      <c r="U14" s="1125">
        <v>0.4</v>
      </c>
      <c r="V14" s="1124" t="s">
        <v>626</v>
      </c>
      <c r="W14" s="1095"/>
      <c r="X14" s="1337"/>
      <c r="Y14" s="1339"/>
      <c r="Z14" s="1123" t="s">
        <v>185</v>
      </c>
      <c r="AA14" s="1122" t="s">
        <v>199</v>
      </c>
      <c r="AB14" s="1121"/>
      <c r="AC14" s="1121"/>
      <c r="AD14" s="1260" t="s">
        <v>597</v>
      </c>
      <c r="AE14" s="1257" t="s">
        <v>596</v>
      </c>
      <c r="AF14" s="1258" t="s">
        <v>601</v>
      </c>
      <c r="AJ14" s="1095"/>
      <c r="AK14" s="1095"/>
      <c r="AL14" s="1095"/>
      <c r="AM14" s="1095"/>
      <c r="AN14" s="1095"/>
      <c r="AO14" s="1095"/>
      <c r="AP14" s="1095"/>
      <c r="AQ14" s="1095"/>
      <c r="AR14" s="1095"/>
      <c r="AS14" s="1095"/>
      <c r="AT14" s="1095"/>
    </row>
    <row r="15" spans="1:49" s="1088" customFormat="1" ht="15.75" x14ac:dyDescent="0.25">
      <c r="A15" s="1080"/>
      <c r="B15" s="1105" t="s">
        <v>659</v>
      </c>
      <c r="C15" s="1098" t="s">
        <v>476</v>
      </c>
      <c r="D15" s="1118"/>
      <c r="E15" s="1104">
        <v>1.0999999999999999E-2</v>
      </c>
      <c r="F15" s="1104">
        <v>7.4999999999999997E-2</v>
      </c>
      <c r="G15" s="1120"/>
      <c r="H15" s="1101">
        <v>0</v>
      </c>
      <c r="I15" s="1161">
        <v>23</v>
      </c>
      <c r="J15" s="1119">
        <f t="shared" ref="J15:J21" si="0">IFERROR(((I15-H15)/H15),0)</f>
        <v>0</v>
      </c>
      <c r="K15" s="1102">
        <f t="shared" ref="K15:K21" si="1">IFERROR(((1-K$14)*I15),0)</f>
        <v>14.950000000000001</v>
      </c>
      <c r="L15" s="1097"/>
      <c r="M15" s="1097">
        <f t="shared" ref="M15:M21" si="2">IFERROR(((1-M$14)*H15),0)</f>
        <v>0</v>
      </c>
      <c r="N15" s="1096">
        <f t="shared" ref="N15:N21" si="3">IFERROR(((K15-M15)/M15),0)</f>
        <v>0</v>
      </c>
      <c r="O15" s="1080"/>
      <c r="P15" s="1101">
        <v>0</v>
      </c>
      <c r="Q15" s="1161">
        <v>32</v>
      </c>
      <c r="R15" s="1100">
        <f t="shared" ref="R15:R21" si="4">IFERROR(((Q15-P15)/P15),0)</f>
        <v>0</v>
      </c>
      <c r="S15" s="1099">
        <f t="shared" ref="S15:S21" si="5">IFERROR(((1-S$14)*$Q15),0)</f>
        <v>20.8</v>
      </c>
      <c r="T15" s="1118"/>
      <c r="U15" s="1097">
        <f t="shared" ref="U15:U21" si="6">PRODUCT((1-$U$14),P15)</f>
        <v>0</v>
      </c>
      <c r="V15" s="1096">
        <f t="shared" ref="V15:V21" si="7">IFERROR(((S15-U15)/U15),0)</f>
        <v>0</v>
      </c>
      <c r="W15" s="1095"/>
      <c r="X15" s="1115" t="str">
        <f t="shared" ref="X15:X21" si="8">_xlfn.CONCAT(TEXT($E15,"#.000#"),""""," - ",TEXT($F15,"#.000#"),"""")</f>
        <v>.011" - .075"</v>
      </c>
      <c r="Y15" s="1114" t="str">
        <f t="shared" ref="Y15:Y21" si="9">$C15</f>
        <v>1W</v>
      </c>
      <c r="Z15" s="1113">
        <f t="shared" ref="Z15:Z21" si="10">I15</f>
        <v>23</v>
      </c>
      <c r="AA15" s="1112">
        <f t="shared" ref="AA15:AA21" si="11">Q15</f>
        <v>32</v>
      </c>
      <c r="AB15" s="1084"/>
      <c r="AC15" s="1084"/>
      <c r="AD15" s="1261" t="s">
        <v>1324</v>
      </c>
      <c r="AE15" s="1117" t="s">
        <v>1331</v>
      </c>
      <c r="AF15" s="1252" t="s">
        <v>1338</v>
      </c>
      <c r="AH15" s="1090">
        <v>6.5</v>
      </c>
      <c r="AI15" s="1090">
        <v>10</v>
      </c>
      <c r="AJ15" s="1089">
        <f t="shared" ref="AJ15:AJ21" si="12">SUM(AH15:AI15)</f>
        <v>16.5</v>
      </c>
      <c r="AK15" s="1162">
        <f t="shared" ref="AK15:AK21" si="13">ROUND(PRODUCT(AJ15,(1+$AK$9)),0)</f>
        <v>20</v>
      </c>
      <c r="AL15" s="1089"/>
      <c r="AM15" s="1089">
        <f t="shared" ref="AM15:AM21" si="14">AH15*2</f>
        <v>13</v>
      </c>
      <c r="AN15" s="1090">
        <v>11</v>
      </c>
      <c r="AO15" s="1089">
        <f t="shared" ref="AO15:AO21" si="15">SUM(AM15:AN15)</f>
        <v>24</v>
      </c>
      <c r="AP15" s="1162">
        <f t="shared" ref="AP15:AP21" si="16">ROUND(PRODUCT(AO15,(1+$AP$9)),0)</f>
        <v>29</v>
      </c>
    </row>
    <row r="16" spans="1:49" s="1088" customFormat="1" ht="15.75" x14ac:dyDescent="0.25">
      <c r="A16" s="1080"/>
      <c r="B16" s="1105" t="s">
        <v>659</v>
      </c>
      <c r="C16" s="1098" t="s">
        <v>477</v>
      </c>
      <c r="D16" s="1098"/>
      <c r="E16" s="1104">
        <v>7.5999999999999998E-2</v>
      </c>
      <c r="F16" s="1104">
        <v>0.18</v>
      </c>
      <c r="G16" s="1103"/>
      <c r="H16" s="1101">
        <v>0</v>
      </c>
      <c r="I16" s="1097">
        <f t="shared" ref="I16:I21" si="17">$AK16</f>
        <v>19</v>
      </c>
      <c r="J16" s="1100">
        <f t="shared" si="0"/>
        <v>0</v>
      </c>
      <c r="K16" s="1102">
        <f t="shared" si="1"/>
        <v>12.35</v>
      </c>
      <c r="L16" s="1097"/>
      <c r="M16" s="1097">
        <f t="shared" si="2"/>
        <v>0</v>
      </c>
      <c r="N16" s="1096">
        <f t="shared" si="3"/>
        <v>0</v>
      </c>
      <c r="O16" s="1080"/>
      <c r="P16" s="1101">
        <v>0</v>
      </c>
      <c r="Q16" s="1097">
        <f t="shared" ref="Q16:Q21" si="18">$AP16</f>
        <v>26</v>
      </c>
      <c r="R16" s="1100">
        <f t="shared" si="4"/>
        <v>0</v>
      </c>
      <c r="S16" s="1099">
        <f t="shared" si="5"/>
        <v>16.900000000000002</v>
      </c>
      <c r="T16" s="1098"/>
      <c r="U16" s="1097">
        <f t="shared" si="6"/>
        <v>0</v>
      </c>
      <c r="V16" s="1096">
        <f t="shared" si="7"/>
        <v>0</v>
      </c>
      <c r="W16" s="1095"/>
      <c r="X16" s="1110" t="str">
        <f t="shared" si="8"/>
        <v>.076" - .180"</v>
      </c>
      <c r="Y16" s="1109" t="str">
        <f t="shared" si="9"/>
        <v>2W</v>
      </c>
      <c r="Z16" s="1116">
        <f t="shared" si="10"/>
        <v>19</v>
      </c>
      <c r="AA16" s="1107">
        <f t="shared" si="11"/>
        <v>26</v>
      </c>
      <c r="AB16" s="1084"/>
      <c r="AC16" s="1084"/>
      <c r="AD16" s="1262" t="s">
        <v>1325</v>
      </c>
      <c r="AE16" s="1106" t="s">
        <v>1332</v>
      </c>
      <c r="AF16" s="1253" t="s">
        <v>1339</v>
      </c>
      <c r="AH16" s="1090">
        <v>5</v>
      </c>
      <c r="AI16" s="1090">
        <v>11</v>
      </c>
      <c r="AJ16" s="1089">
        <f t="shared" si="12"/>
        <v>16</v>
      </c>
      <c r="AK16" s="1089">
        <f t="shared" si="13"/>
        <v>19</v>
      </c>
      <c r="AL16" s="1089"/>
      <c r="AM16" s="1089">
        <f t="shared" si="14"/>
        <v>10</v>
      </c>
      <c r="AN16" s="1090">
        <v>12</v>
      </c>
      <c r="AO16" s="1089">
        <f t="shared" si="15"/>
        <v>22</v>
      </c>
      <c r="AP16" s="1089">
        <f t="shared" si="16"/>
        <v>26</v>
      </c>
    </row>
    <row r="17" spans="1:49" s="1088" customFormat="1" ht="15.75" x14ac:dyDescent="0.25">
      <c r="A17" s="1080"/>
      <c r="B17" s="1105" t="s">
        <v>659</v>
      </c>
      <c r="C17" s="1098" t="s">
        <v>478</v>
      </c>
      <c r="D17" s="1098"/>
      <c r="E17" s="1104">
        <v>0.18099999999999999</v>
      </c>
      <c r="F17" s="1104">
        <v>0.28100000000000003</v>
      </c>
      <c r="G17" s="1103"/>
      <c r="H17" s="1101">
        <v>0</v>
      </c>
      <c r="I17" s="1097">
        <f t="shared" si="17"/>
        <v>21</v>
      </c>
      <c r="J17" s="1100">
        <f t="shared" si="0"/>
        <v>0</v>
      </c>
      <c r="K17" s="1102">
        <f t="shared" si="1"/>
        <v>13.65</v>
      </c>
      <c r="L17" s="1097"/>
      <c r="M17" s="1097">
        <f t="shared" si="2"/>
        <v>0</v>
      </c>
      <c r="N17" s="1096">
        <f t="shared" si="3"/>
        <v>0</v>
      </c>
      <c r="O17" s="1080"/>
      <c r="P17" s="1101">
        <v>0</v>
      </c>
      <c r="Q17" s="1097">
        <f t="shared" si="18"/>
        <v>29</v>
      </c>
      <c r="R17" s="1100">
        <f t="shared" si="4"/>
        <v>0</v>
      </c>
      <c r="S17" s="1099">
        <f t="shared" si="5"/>
        <v>18.850000000000001</v>
      </c>
      <c r="T17" s="1098"/>
      <c r="U17" s="1097">
        <f t="shared" si="6"/>
        <v>0</v>
      </c>
      <c r="V17" s="1096">
        <f t="shared" si="7"/>
        <v>0</v>
      </c>
      <c r="W17" s="1095"/>
      <c r="X17" s="1115" t="str">
        <f t="shared" si="8"/>
        <v>.181" - .281"</v>
      </c>
      <c r="Y17" s="1114" t="str">
        <f t="shared" si="9"/>
        <v>3W</v>
      </c>
      <c r="Z17" s="1113">
        <f t="shared" si="10"/>
        <v>21</v>
      </c>
      <c r="AA17" s="1112">
        <f t="shared" si="11"/>
        <v>29</v>
      </c>
      <c r="AB17" s="1084"/>
      <c r="AC17" s="1084"/>
      <c r="AD17" s="1263" t="s">
        <v>1326</v>
      </c>
      <c r="AE17" s="1111" t="s">
        <v>1333</v>
      </c>
      <c r="AF17" s="1254" t="s">
        <v>1340</v>
      </c>
      <c r="AH17" s="1090">
        <v>5.5</v>
      </c>
      <c r="AI17" s="1090">
        <v>12</v>
      </c>
      <c r="AJ17" s="1089">
        <f t="shared" si="12"/>
        <v>17.5</v>
      </c>
      <c r="AK17" s="1089">
        <f t="shared" si="13"/>
        <v>21</v>
      </c>
      <c r="AL17" s="1089"/>
      <c r="AM17" s="1089">
        <f t="shared" si="14"/>
        <v>11</v>
      </c>
      <c r="AN17" s="1090">
        <v>13</v>
      </c>
      <c r="AO17" s="1089">
        <f t="shared" si="15"/>
        <v>24</v>
      </c>
      <c r="AP17" s="1089">
        <f t="shared" si="16"/>
        <v>29</v>
      </c>
    </row>
    <row r="18" spans="1:49" s="1088" customFormat="1" ht="15.75" x14ac:dyDescent="0.25">
      <c r="A18" s="1080"/>
      <c r="B18" s="1105" t="s">
        <v>659</v>
      </c>
      <c r="C18" s="1098" t="s">
        <v>479</v>
      </c>
      <c r="D18" s="1098"/>
      <c r="E18" s="1104">
        <v>0.28199999999999997</v>
      </c>
      <c r="F18" s="1104">
        <v>0.40600000000000003</v>
      </c>
      <c r="G18" s="1103"/>
      <c r="H18" s="1101">
        <v>0</v>
      </c>
      <c r="I18" s="1097">
        <f t="shared" si="17"/>
        <v>25</v>
      </c>
      <c r="J18" s="1100">
        <f t="shared" si="0"/>
        <v>0</v>
      </c>
      <c r="K18" s="1102">
        <f t="shared" si="1"/>
        <v>16.25</v>
      </c>
      <c r="L18" s="1097"/>
      <c r="M18" s="1097">
        <f t="shared" si="2"/>
        <v>0</v>
      </c>
      <c r="N18" s="1096">
        <f t="shared" si="3"/>
        <v>0</v>
      </c>
      <c r="O18" s="1080"/>
      <c r="P18" s="1101">
        <v>0</v>
      </c>
      <c r="Q18" s="1097">
        <f t="shared" si="18"/>
        <v>34</v>
      </c>
      <c r="R18" s="1100">
        <f t="shared" si="4"/>
        <v>0</v>
      </c>
      <c r="S18" s="1099">
        <f t="shared" si="5"/>
        <v>22.1</v>
      </c>
      <c r="T18" s="1098"/>
      <c r="U18" s="1097">
        <f t="shared" si="6"/>
        <v>0</v>
      </c>
      <c r="V18" s="1096">
        <f t="shared" si="7"/>
        <v>0</v>
      </c>
      <c r="W18" s="1095"/>
      <c r="X18" s="1110" t="str">
        <f t="shared" si="8"/>
        <v>.282" - .406"</v>
      </c>
      <c r="Y18" s="1109" t="str">
        <f t="shared" si="9"/>
        <v>4W</v>
      </c>
      <c r="Z18" s="1108">
        <f t="shared" si="10"/>
        <v>25</v>
      </c>
      <c r="AA18" s="1107">
        <f t="shared" si="11"/>
        <v>34</v>
      </c>
      <c r="AB18" s="1084"/>
      <c r="AC18" s="1084"/>
      <c r="AD18" s="1262" t="s">
        <v>1327</v>
      </c>
      <c r="AE18" s="1106" t="s">
        <v>1334</v>
      </c>
      <c r="AF18" s="1253" t="s">
        <v>1341</v>
      </c>
      <c r="AH18" s="1090">
        <v>6.5</v>
      </c>
      <c r="AI18" s="1090">
        <v>14</v>
      </c>
      <c r="AJ18" s="1089">
        <f t="shared" si="12"/>
        <v>20.5</v>
      </c>
      <c r="AK18" s="1089">
        <f t="shared" si="13"/>
        <v>25</v>
      </c>
      <c r="AL18" s="1089"/>
      <c r="AM18" s="1089">
        <f t="shared" si="14"/>
        <v>13</v>
      </c>
      <c r="AN18" s="1090">
        <v>15</v>
      </c>
      <c r="AO18" s="1089">
        <f t="shared" si="15"/>
        <v>28</v>
      </c>
      <c r="AP18" s="1089">
        <f t="shared" si="16"/>
        <v>34</v>
      </c>
    </row>
    <row r="19" spans="1:49" s="1088" customFormat="1" ht="15.75" x14ac:dyDescent="0.25">
      <c r="A19" s="1080"/>
      <c r="B19" s="1105" t="s">
        <v>659</v>
      </c>
      <c r="C19" s="1098" t="s">
        <v>480</v>
      </c>
      <c r="D19" s="1098"/>
      <c r="E19" s="1104">
        <v>0.40699999999999997</v>
      </c>
      <c r="F19" s="1104">
        <v>0.51</v>
      </c>
      <c r="G19" s="1103"/>
      <c r="H19" s="1101">
        <v>0</v>
      </c>
      <c r="I19" s="1097">
        <f t="shared" si="17"/>
        <v>32</v>
      </c>
      <c r="J19" s="1100">
        <f t="shared" si="0"/>
        <v>0</v>
      </c>
      <c r="K19" s="1102">
        <f t="shared" si="1"/>
        <v>20.8</v>
      </c>
      <c r="L19" s="1097"/>
      <c r="M19" s="1097">
        <f t="shared" si="2"/>
        <v>0</v>
      </c>
      <c r="N19" s="1096">
        <f t="shared" si="3"/>
        <v>0</v>
      </c>
      <c r="O19" s="1080"/>
      <c r="P19" s="1101">
        <v>0</v>
      </c>
      <c r="Q19" s="1097">
        <f t="shared" si="18"/>
        <v>43</v>
      </c>
      <c r="R19" s="1100">
        <f t="shared" si="4"/>
        <v>0</v>
      </c>
      <c r="S19" s="1099">
        <f t="shared" si="5"/>
        <v>27.95</v>
      </c>
      <c r="T19" s="1098"/>
      <c r="U19" s="1097">
        <f t="shared" si="6"/>
        <v>0</v>
      </c>
      <c r="V19" s="1096">
        <f t="shared" si="7"/>
        <v>0</v>
      </c>
      <c r="W19" s="1095"/>
      <c r="X19" s="1115" t="str">
        <f t="shared" si="8"/>
        <v>.407" - .510"</v>
      </c>
      <c r="Y19" s="1114" t="str">
        <f t="shared" si="9"/>
        <v>5W</v>
      </c>
      <c r="Z19" s="1113">
        <f t="shared" si="10"/>
        <v>32</v>
      </c>
      <c r="AA19" s="1112">
        <f t="shared" si="11"/>
        <v>43</v>
      </c>
      <c r="AB19" s="1084"/>
      <c r="AC19" s="1084"/>
      <c r="AD19" s="1263" t="s">
        <v>1328</v>
      </c>
      <c r="AE19" s="1111" t="s">
        <v>1335</v>
      </c>
      <c r="AF19" s="1254" t="s">
        <v>1342</v>
      </c>
      <c r="AH19" s="1090">
        <v>8</v>
      </c>
      <c r="AI19" s="1090">
        <v>19</v>
      </c>
      <c r="AJ19" s="1089">
        <f t="shared" si="12"/>
        <v>27</v>
      </c>
      <c r="AK19" s="1089">
        <f t="shared" si="13"/>
        <v>32</v>
      </c>
      <c r="AL19" s="1089"/>
      <c r="AM19" s="1089">
        <f t="shared" si="14"/>
        <v>16</v>
      </c>
      <c r="AN19" s="1090">
        <v>20</v>
      </c>
      <c r="AO19" s="1089">
        <f t="shared" si="15"/>
        <v>36</v>
      </c>
      <c r="AP19" s="1089">
        <f t="shared" si="16"/>
        <v>43</v>
      </c>
    </row>
    <row r="20" spans="1:49" s="1088" customFormat="1" ht="15.75" x14ac:dyDescent="0.25">
      <c r="A20" s="1080"/>
      <c r="B20" s="1105" t="s">
        <v>659</v>
      </c>
      <c r="C20" s="1098" t="s">
        <v>481</v>
      </c>
      <c r="D20" s="1098"/>
      <c r="E20" s="1104">
        <v>0.51100000000000001</v>
      </c>
      <c r="F20" s="1104">
        <v>0.63500000000000001</v>
      </c>
      <c r="G20" s="1103"/>
      <c r="H20" s="1101">
        <v>0</v>
      </c>
      <c r="I20" s="1097">
        <f t="shared" si="17"/>
        <v>38</v>
      </c>
      <c r="J20" s="1100">
        <f t="shared" si="0"/>
        <v>0</v>
      </c>
      <c r="K20" s="1102">
        <f t="shared" si="1"/>
        <v>24.7</v>
      </c>
      <c r="L20" s="1097"/>
      <c r="M20" s="1097">
        <f t="shared" si="2"/>
        <v>0</v>
      </c>
      <c r="N20" s="1096">
        <f t="shared" si="3"/>
        <v>0</v>
      </c>
      <c r="O20" s="1080"/>
      <c r="P20" s="1101">
        <v>0</v>
      </c>
      <c r="Q20" s="1097">
        <f t="shared" si="18"/>
        <v>50</v>
      </c>
      <c r="R20" s="1100">
        <f t="shared" si="4"/>
        <v>0</v>
      </c>
      <c r="S20" s="1099">
        <f t="shared" si="5"/>
        <v>32.5</v>
      </c>
      <c r="T20" s="1098"/>
      <c r="U20" s="1097">
        <f t="shared" si="6"/>
        <v>0</v>
      </c>
      <c r="V20" s="1096">
        <f t="shared" si="7"/>
        <v>0</v>
      </c>
      <c r="W20" s="1095"/>
      <c r="X20" s="1110" t="str">
        <f t="shared" si="8"/>
        <v>.511" - .635"</v>
      </c>
      <c r="Y20" s="1109" t="str">
        <f t="shared" si="9"/>
        <v>6W</v>
      </c>
      <c r="Z20" s="1108">
        <f t="shared" si="10"/>
        <v>38</v>
      </c>
      <c r="AA20" s="1107">
        <f t="shared" si="11"/>
        <v>50</v>
      </c>
      <c r="AB20" s="1084"/>
      <c r="AC20" s="1084"/>
      <c r="AD20" s="1262" t="s">
        <v>1329</v>
      </c>
      <c r="AE20" s="1106" t="s">
        <v>1336</v>
      </c>
      <c r="AF20" s="1253" t="s">
        <v>1343</v>
      </c>
      <c r="AH20" s="1090">
        <v>9</v>
      </c>
      <c r="AI20" s="1090">
        <v>23</v>
      </c>
      <c r="AJ20" s="1089">
        <f t="shared" si="12"/>
        <v>32</v>
      </c>
      <c r="AK20" s="1089">
        <f t="shared" si="13"/>
        <v>38</v>
      </c>
      <c r="AL20" s="1089"/>
      <c r="AM20" s="1089">
        <f t="shared" si="14"/>
        <v>18</v>
      </c>
      <c r="AN20" s="1090">
        <v>24</v>
      </c>
      <c r="AO20" s="1089">
        <f t="shared" si="15"/>
        <v>42</v>
      </c>
      <c r="AP20" s="1089">
        <f t="shared" si="16"/>
        <v>50</v>
      </c>
    </row>
    <row r="21" spans="1:49" s="1088" customFormat="1" ht="16.5" thickBot="1" x14ac:dyDescent="0.3">
      <c r="A21" s="1080"/>
      <c r="B21" s="1105" t="s">
        <v>659</v>
      </c>
      <c r="C21" s="1098" t="s">
        <v>482</v>
      </c>
      <c r="D21" s="1098"/>
      <c r="E21" s="1104">
        <v>0.63600000000000001</v>
      </c>
      <c r="F21" s="1104">
        <v>0.75</v>
      </c>
      <c r="G21" s="1103"/>
      <c r="H21" s="1101">
        <v>0</v>
      </c>
      <c r="I21" s="1097">
        <f t="shared" si="17"/>
        <v>44</v>
      </c>
      <c r="J21" s="1100">
        <f t="shared" si="0"/>
        <v>0</v>
      </c>
      <c r="K21" s="1102">
        <f t="shared" si="1"/>
        <v>28.6</v>
      </c>
      <c r="L21" s="1097"/>
      <c r="M21" s="1097">
        <f t="shared" si="2"/>
        <v>0</v>
      </c>
      <c r="N21" s="1096">
        <f t="shared" si="3"/>
        <v>0</v>
      </c>
      <c r="O21" s="1080"/>
      <c r="P21" s="1101">
        <v>0</v>
      </c>
      <c r="Q21" s="1097">
        <f t="shared" si="18"/>
        <v>58</v>
      </c>
      <c r="R21" s="1100">
        <f t="shared" si="4"/>
        <v>0</v>
      </c>
      <c r="S21" s="1099">
        <f t="shared" si="5"/>
        <v>37.700000000000003</v>
      </c>
      <c r="T21" s="1098"/>
      <c r="U21" s="1097">
        <f t="shared" si="6"/>
        <v>0</v>
      </c>
      <c r="V21" s="1096">
        <f t="shared" si="7"/>
        <v>0</v>
      </c>
      <c r="W21" s="1095"/>
      <c r="X21" s="1094" t="str">
        <f t="shared" si="8"/>
        <v>.636" - .750"</v>
      </c>
      <c r="Y21" s="1093" t="str">
        <f t="shared" si="9"/>
        <v>7W</v>
      </c>
      <c r="Z21" s="1092">
        <f t="shared" si="10"/>
        <v>44</v>
      </c>
      <c r="AA21" s="1091">
        <f t="shared" si="11"/>
        <v>58</v>
      </c>
      <c r="AB21" s="1084"/>
      <c r="AC21" s="1084"/>
      <c r="AD21" s="1264" t="s">
        <v>1330</v>
      </c>
      <c r="AE21" s="1255" t="s">
        <v>1337</v>
      </c>
      <c r="AF21" s="1256" t="s">
        <v>1344</v>
      </c>
      <c r="AH21" s="1090">
        <v>10</v>
      </c>
      <c r="AI21" s="1090">
        <v>27</v>
      </c>
      <c r="AJ21" s="1089">
        <f t="shared" si="12"/>
        <v>37</v>
      </c>
      <c r="AK21" s="1089">
        <f t="shared" si="13"/>
        <v>44</v>
      </c>
      <c r="AL21" s="1089"/>
      <c r="AM21" s="1089">
        <f t="shared" si="14"/>
        <v>20</v>
      </c>
      <c r="AN21" s="1090">
        <v>28</v>
      </c>
      <c r="AO21" s="1089">
        <f t="shared" si="15"/>
        <v>48</v>
      </c>
      <c r="AP21" s="1089">
        <f t="shared" si="16"/>
        <v>58</v>
      </c>
    </row>
    <row r="22" spans="1:49" ht="15.75" x14ac:dyDescent="0.25">
      <c r="D22" s="1080"/>
      <c r="G22" s="1080"/>
      <c r="P22" s="1087"/>
      <c r="Q22" s="1087"/>
      <c r="S22" s="1086"/>
      <c r="T22" s="1080"/>
      <c r="U22" s="1080"/>
      <c r="V22" s="1080"/>
      <c r="AB22" s="1084"/>
      <c r="AC22" s="1084"/>
      <c r="AE22" s="1080"/>
      <c r="AF22" s="1080"/>
      <c r="AG22" s="1080"/>
      <c r="AH22" s="1080"/>
      <c r="AI22" s="1080"/>
    </row>
    <row r="23" spans="1:49" ht="15.75" x14ac:dyDescent="0.25">
      <c r="D23" s="1080"/>
      <c r="G23" s="1080"/>
      <c r="P23" s="1087"/>
      <c r="Q23" s="1087"/>
      <c r="S23" s="1086"/>
      <c r="T23" s="1080"/>
      <c r="U23" s="1080"/>
      <c r="V23" s="1080"/>
      <c r="X23" s="1085" t="s">
        <v>966</v>
      </c>
      <c r="AB23" s="1084"/>
      <c r="AC23" s="1084"/>
      <c r="AE23" s="1080"/>
      <c r="AF23" s="1080"/>
      <c r="AG23" s="1080"/>
      <c r="AH23" s="1080"/>
      <c r="AI23" s="1080"/>
    </row>
    <row r="24" spans="1:49" s="1081" customFormat="1" x14ac:dyDescent="0.25">
      <c r="A24" s="1083"/>
      <c r="B24" s="1080"/>
      <c r="C24" s="1080"/>
      <c r="D24" s="1082"/>
      <c r="E24" s="1080"/>
      <c r="F24" s="1080"/>
      <c r="G24" s="1082"/>
      <c r="H24" s="1080"/>
      <c r="I24" s="1080"/>
      <c r="J24" s="1080"/>
      <c r="K24" s="1080"/>
      <c r="L24" s="1080"/>
      <c r="M24" s="1080"/>
      <c r="N24" s="1080"/>
      <c r="O24" s="1080"/>
      <c r="P24" s="1080"/>
      <c r="Q24" s="1080"/>
      <c r="R24" s="1080"/>
      <c r="S24" s="1080"/>
      <c r="T24" s="1082"/>
      <c r="U24" s="1080"/>
      <c r="V24" s="1080"/>
      <c r="W24" s="1080"/>
      <c r="Y24" s="1080"/>
      <c r="Z24" s="1080"/>
      <c r="AA24" s="1080"/>
      <c r="AB24" s="1080"/>
      <c r="AC24" s="1080"/>
      <c r="AD24" s="1080"/>
      <c r="AJ24" s="1080"/>
      <c r="AK24" s="1080"/>
      <c r="AL24" s="1080"/>
      <c r="AM24" s="1080"/>
      <c r="AN24" s="1080"/>
      <c r="AO24" s="1080"/>
      <c r="AP24" s="1080"/>
      <c r="AQ24" s="1080"/>
      <c r="AR24" s="1080"/>
      <c r="AS24" s="1080"/>
      <c r="AT24" s="1080"/>
      <c r="AU24" s="1080"/>
      <c r="AV24" s="1080"/>
      <c r="AW24" s="1080"/>
    </row>
  </sheetData>
  <sheetProtection algorithmName="SHA-512" hashValue="svavQS24m3Bmgl8luNe/eNXK6VfM5f63TEdzDdhIM+U2uv67WegGrUzn0Z0zsEtu5zRFf99Voep171goGae+GA==" saltValue="ePXsyMwbTEkewYmJkwLIug==" spinCount="100000" sheet="1" objects="1" scenarios="1"/>
  <mergeCells count="2">
    <mergeCell ref="X13:X14"/>
    <mergeCell ref="Y13:Y14"/>
  </mergeCells>
  <conditionalFormatting sqref="X7:X9">
    <cfRule type="expression" dxfId="0" priority="1">
      <formula>#REF!="y"</formula>
    </cfRule>
  </conditionalFormatting>
  <pageMargins left="0" right="0" top="0.5" bottom="0.5" header="0.3" footer="0.3"/>
  <pageSetup scale="7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9</vt:i4>
      </vt:variant>
    </vt:vector>
  </HeadingPairs>
  <TitlesOfParts>
    <vt:vector size="37" baseType="lpstr">
      <vt:lpstr>TO DO LIST</vt:lpstr>
      <vt:lpstr>Discount Groups</vt:lpstr>
      <vt:lpstr>Ref</vt:lpstr>
      <vt:lpstr>Other Charge Items</vt:lpstr>
      <vt:lpstr>Cover</vt:lpstr>
      <vt:lpstr>1. Calibration Services</vt:lpstr>
      <vt:lpstr>2. Calibration - Z Sets &amp; Libs.</vt:lpstr>
      <vt:lpstr>3. Calibration - X Sets &amp; Libs.</vt:lpstr>
      <vt:lpstr>4. Individual Pin Gages</vt:lpstr>
      <vt:lpstr>5. Class Z Sets</vt:lpstr>
      <vt:lpstr>6. Class Z Libraries</vt:lpstr>
      <vt:lpstr>7. Class X Sets</vt:lpstr>
      <vt:lpstr>8. Class X Libraries</vt:lpstr>
      <vt:lpstr>9. Class X MG-25 Series</vt:lpstr>
      <vt:lpstr>10. Go-NoGo Assemblies</vt:lpstr>
      <vt:lpstr>11. Class ZZ Custom-Length</vt:lpstr>
      <vt:lpstr>12. Class X Custom-Length</vt:lpstr>
      <vt:lpstr>13. Ring Gages</vt:lpstr>
      <vt:lpstr>14. Taperlocks </vt:lpstr>
      <vt:lpstr>15. Trilocks</vt:lpstr>
      <vt:lpstr>16. Progressives</vt:lpstr>
      <vt:lpstr>17. Master Setting Discs</vt:lpstr>
      <vt:lpstr>18. Handles</vt:lpstr>
      <vt:lpstr>19. Bushings</vt:lpstr>
      <vt:lpstr>20. Accessories</vt:lpstr>
      <vt:lpstr>21. Accessories (cont.)</vt:lpstr>
      <vt:lpstr>22. Black Ox</vt:lpstr>
      <vt:lpstr>23. Black Ox (cont.)</vt:lpstr>
      <vt:lpstr>'4. Individual Pin Gages'!PRICE_X_PIN</vt:lpstr>
      <vt:lpstr>'4. Individual Pin Gages'!PRICE_XX_PIN</vt:lpstr>
      <vt:lpstr>'4. Individual Pin Gages'!PRICE_Z_PIN</vt:lpstr>
      <vt:lpstr>'4. Individual Pin Gages'!X_INCH_PIN</vt:lpstr>
      <vt:lpstr>'4. Individual Pin Gages'!X_METRIC_PIN</vt:lpstr>
      <vt:lpstr>'4. Individual Pin Gages'!XX_INCH_PIN</vt:lpstr>
      <vt:lpstr>'4. Individual Pin Gages'!XX_METRIC_PIN</vt:lpstr>
      <vt:lpstr>'4. Individual Pin Gages'!Z_INCH_PIN</vt:lpstr>
      <vt:lpstr>'4. Individual Pin Gages'!Z_METRIC_PIN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Bryer</dc:creator>
  <cp:lastModifiedBy>Ben Bryer</cp:lastModifiedBy>
  <cp:lastPrinted>2025-04-08T03:58:25Z</cp:lastPrinted>
  <dcterms:created xsi:type="dcterms:W3CDTF">2024-07-21T17:33:02Z</dcterms:created>
  <dcterms:modified xsi:type="dcterms:W3CDTF">2025-04-10T22:31:59Z</dcterms:modified>
</cp:coreProperties>
</file>