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comments7.xml" ContentType="application/vnd.openxmlformats-officedocument.spreadsheetml.comments+xml"/>
  <Override PartName="/xl/threadedComments/threadedComment7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rolli\Desktop\Meyer Gage Infomration\"/>
    </mc:Choice>
  </mc:AlternateContent>
  <xr:revisionPtr revIDLastSave="0" documentId="8_{8105C1DF-B833-4B1F-BEAE-0F1966FD23A7}" xr6:coauthVersionLast="47" xr6:coauthVersionMax="47" xr10:uidLastSave="{00000000-0000-0000-0000-000000000000}"/>
  <workbookProtection workbookAlgorithmName="SHA-512" workbookHashValue="XFS49RhPsKONtYQwBDQ++PmPEKbnYJ4Bwyx/04cRSAmr2TAhp3yptNX53soZalbDW1IoCTH1xB+wnLeP1MeU+w==" workbookSaltValue="SFECHbmY3MXhdS0xma8erg==" workbookSpinCount="100000" lockStructure="1"/>
  <bookViews>
    <workbookView xWindow="-120" yWindow="-120" windowWidth="29040" windowHeight="15720" tabRatio="877" firstSheet="3" activeTab="3" xr2:uid="{653D8586-7A14-4465-AECC-05F8F50005C3}"/>
  </bookViews>
  <sheets>
    <sheet name="Discount Groups" sheetId="77" state="hidden" r:id="rId1"/>
    <sheet name="TO DO LIST" sheetId="78" state="hidden" r:id="rId2"/>
    <sheet name="Ref" sheetId="65" state="hidden" r:id="rId3"/>
    <sheet name="Cover" sheetId="68" r:id="rId4"/>
    <sheet name="Calibration Services" sheetId="43" r:id="rId5"/>
    <sheet name="Calibration, Z Sets &amp; Libraries" sheetId="83" r:id="rId6"/>
    <sheet name="Calibration, X Sets &amp; Libraries" sheetId="82" r:id="rId7"/>
    <sheet name="Individual Pin Gages" sheetId="75" r:id="rId8"/>
    <sheet name="Class Z Sets" sheetId="6" r:id="rId9"/>
    <sheet name="Class Z Libraries" sheetId="63" r:id="rId10"/>
    <sheet name="Class X Sets" sheetId="7" r:id="rId11"/>
    <sheet name="Class X Libraries" sheetId="11" r:id="rId12"/>
    <sheet name="Class X MG-25 Series" sheetId="72" r:id="rId13"/>
    <sheet name="ASSY-PIN, SE (2)" sheetId="51" state="hidden" r:id="rId14"/>
    <sheet name="Go-NoGo Assemblies" sheetId="58" r:id="rId15"/>
    <sheet name="Class ZZ Custom-Length" sheetId="19" r:id="rId16"/>
    <sheet name="Class X Custom-Length" sheetId="76" r:id="rId17"/>
    <sheet name="Ring Gages" sheetId="53" r:id="rId18"/>
    <sheet name="Taperlocks " sheetId="56" r:id="rId19"/>
    <sheet name="Trilocks" sheetId="60" r:id="rId20"/>
    <sheet name="Progressives" sheetId="61" r:id="rId21"/>
    <sheet name="Master Setting Discs" sheetId="62" r:id="rId22"/>
    <sheet name="Pin Gage Handles" sheetId="30" r:id="rId23"/>
    <sheet name="Bushings v1" sheetId="29" state="hidden" r:id="rId24"/>
    <sheet name="Bushings" sheetId="79" r:id="rId25"/>
    <sheet name="Accessories" sheetId="31" r:id="rId26"/>
    <sheet name="Accessories (cont.)" sheetId="33" r:id="rId27"/>
    <sheet name="Black Ox" sheetId="71" state="hidden" r:id="rId28"/>
  </sheets>
  <definedNames>
    <definedName name="__123Graph_A" localSheetId="13" hidden="1">#REF!</definedName>
    <definedName name="__123Graph_A" localSheetId="27" hidden="1">#REF!</definedName>
    <definedName name="__123Graph_A" localSheetId="6" hidden="1">#REF!</definedName>
    <definedName name="__123Graph_A" localSheetId="5" hidden="1">#REF!</definedName>
    <definedName name="__123Graph_A" localSheetId="14" hidden="1">#REF!</definedName>
    <definedName name="__123Graph_A" localSheetId="7" hidden="1">#REF!</definedName>
    <definedName name="__123Graph_A" localSheetId="21" hidden="1">#REF!</definedName>
    <definedName name="__123Graph_A" hidden="1">#REF!</definedName>
    <definedName name="__123Graph_B" localSheetId="13" hidden="1">#REF!</definedName>
    <definedName name="__123Graph_B" localSheetId="27" hidden="1">#REF!</definedName>
    <definedName name="__123Graph_B" localSheetId="6" hidden="1">#REF!</definedName>
    <definedName name="__123Graph_B" localSheetId="5" hidden="1">#REF!</definedName>
    <definedName name="__123Graph_B" localSheetId="14" hidden="1">#REF!</definedName>
    <definedName name="__123Graph_B" localSheetId="7" hidden="1">#REF!</definedName>
    <definedName name="__123Graph_B" localSheetId="21" hidden="1">#REF!</definedName>
    <definedName name="__123Graph_B" hidden="1">#REF!</definedName>
    <definedName name="__123Graph_C" localSheetId="27" hidden="1">#REF!</definedName>
    <definedName name="__123Graph_C" localSheetId="6" hidden="1">#REF!</definedName>
    <definedName name="__123Graph_C" localSheetId="5" hidden="1">#REF!</definedName>
    <definedName name="__123Graph_C" localSheetId="21" hidden="1">#REF!</definedName>
    <definedName name="__123Graph_C" hidden="1">#REF!</definedName>
    <definedName name="__123Graph_D" localSheetId="6" hidden="1">#REF!</definedName>
    <definedName name="__123Graph_D" localSheetId="5" hidden="1">#REF!</definedName>
    <definedName name="__123Graph_D" localSheetId="21" hidden="1">#REF!</definedName>
    <definedName name="__123Graph_D" hidden="1">#REF!</definedName>
    <definedName name="__123Graph_E" localSheetId="6" hidden="1">#REF!</definedName>
    <definedName name="__123Graph_E" localSheetId="5" hidden="1">#REF!</definedName>
    <definedName name="__123Graph_E" localSheetId="21" hidden="1">#REF!</definedName>
    <definedName name="__123Graph_E" hidden="1">#REF!</definedName>
    <definedName name="__123Graph_F" localSheetId="6" hidden="1">#REF!</definedName>
    <definedName name="__123Graph_F" localSheetId="5" hidden="1">#REF!</definedName>
    <definedName name="__123Graph_F" localSheetId="21" hidden="1">#REF!</definedName>
    <definedName name="__123Graph_F" hidden="1">#REF!</definedName>
    <definedName name="__123Graph_X" localSheetId="6" hidden="1">#REF!</definedName>
    <definedName name="__123Graph_X" localSheetId="5" hidden="1">#REF!</definedName>
    <definedName name="__123Graph_X" localSheetId="21" hidden="1">#REF!</definedName>
    <definedName name="__123Graph_X" hidden="1">#REF!</definedName>
    <definedName name="__flashbackFrom" localSheetId="6" hidden="1">#REF!</definedName>
    <definedName name="__flashbackFrom" localSheetId="5" hidden="1">#REF!</definedName>
    <definedName name="__flashbackFrom" localSheetId="21" hidden="1">#REF!</definedName>
    <definedName name="__flashbackFrom" hidden="1">#REF!</definedName>
    <definedName name="__flashbackTo" localSheetId="6" hidden="1">#REF!</definedName>
    <definedName name="__flashbackTo" localSheetId="5" hidden="1">#REF!</definedName>
    <definedName name="__flashbackTo" localSheetId="21" hidden="1">#REF!</definedName>
    <definedName name="__flashbackTo" hidden="1">#REF!</definedName>
    <definedName name="__IntlFixup" hidden="1">TRUE</definedName>
    <definedName name="__IntlFixupTable" localSheetId="27" hidden="1">#REF!</definedName>
    <definedName name="__IntlFixupTable" localSheetId="6" hidden="1">#REF!</definedName>
    <definedName name="__IntlFixupTable" localSheetId="5" hidden="1">#REF!</definedName>
    <definedName name="__IntlFixupTable" localSheetId="7" hidden="1">#REF!</definedName>
    <definedName name="__IntlFixupTable" localSheetId="21" hidden="1">#REF!</definedName>
    <definedName name="__IntlFixupTable" hidden="1">#REF!</definedName>
    <definedName name="_aug14" localSheetId="27">#REF!</definedName>
    <definedName name="_aug14" localSheetId="6">#REF!</definedName>
    <definedName name="_aug14" localSheetId="5">#REF!</definedName>
    <definedName name="_aug14" localSheetId="7">#REF!</definedName>
    <definedName name="_aug14" localSheetId="21">#REF!</definedName>
    <definedName name="_aug14">#REF!</definedName>
    <definedName name="_bdm.12D3DFC78DB140BE8452B119A36FDD74.edm" localSheetId="27" hidden="1">#REF!</definedName>
    <definedName name="_bdm.12D3DFC78DB140BE8452B119A36FDD74.edm" localSheetId="6" hidden="1">#REF!</definedName>
    <definedName name="_bdm.12D3DFC78DB140BE8452B119A36FDD74.edm" localSheetId="5" hidden="1">#REF!</definedName>
    <definedName name="_bdm.12D3DFC78DB140BE8452B119A36FDD74.edm" localSheetId="7" hidden="1">#REF!</definedName>
    <definedName name="_bdm.12D3DFC78DB140BE8452B119A36FDD74.edm" localSheetId="21" hidden="1">#REF!</definedName>
    <definedName name="_bdm.12D3DFC78DB140BE8452B119A36FDD74.edm" hidden="1">#REF!</definedName>
    <definedName name="_bdm.33AAEDC7ACE149FEAE9E9DFE5122EDB3.edm" localSheetId="6" hidden="1">#REF!</definedName>
    <definedName name="_bdm.33AAEDC7ACE149FEAE9E9DFE5122EDB3.edm" localSheetId="5" hidden="1">#REF!</definedName>
    <definedName name="_bdm.33AAEDC7ACE149FEAE9E9DFE5122EDB3.edm" localSheetId="21" hidden="1">#REF!</definedName>
    <definedName name="_bdm.33AAEDC7ACE149FEAE9E9DFE5122EDB3.edm" hidden="1">#REF!</definedName>
    <definedName name="_bdm.3BF02697DA304138918568B20CFDB4B0.edm" localSheetId="6" hidden="1">#REF!</definedName>
    <definedName name="_bdm.3BF02697DA304138918568B20CFDB4B0.edm" localSheetId="5" hidden="1">#REF!</definedName>
    <definedName name="_bdm.3BF02697DA304138918568B20CFDB4B0.edm" localSheetId="21" hidden="1">#REF!</definedName>
    <definedName name="_bdm.3BF02697DA304138918568B20CFDB4B0.edm" hidden="1">#REF!</definedName>
    <definedName name="_bdm.53858AC19DB64104B5273AC102946B37.edm" localSheetId="6" hidden="1">#REF!</definedName>
    <definedName name="_bdm.53858AC19DB64104B5273AC102946B37.edm" localSheetId="5" hidden="1">#REF!</definedName>
    <definedName name="_bdm.53858AC19DB64104B5273AC102946B37.edm" localSheetId="21" hidden="1">#REF!</definedName>
    <definedName name="_bdm.53858AC19DB64104B5273AC102946B37.edm" hidden="1">#REF!</definedName>
    <definedName name="_bdm.693940DB865843CEB1FA0F17A1C91E29.edm" localSheetId="6" hidden="1">#REF!</definedName>
    <definedName name="_bdm.693940DB865843CEB1FA0F17A1C91E29.edm" localSheetId="5" hidden="1">#REF!</definedName>
    <definedName name="_bdm.693940DB865843CEB1FA0F17A1C91E29.edm" localSheetId="21" hidden="1">#REF!</definedName>
    <definedName name="_bdm.693940DB865843CEB1FA0F17A1C91E29.edm" hidden="1">#REF!</definedName>
    <definedName name="_bdm.72EB89E721A1448DBD4A0575D5040E5B.edm" localSheetId="6" hidden="1">#REF!</definedName>
    <definedName name="_bdm.72EB89E721A1448DBD4A0575D5040E5B.edm" localSheetId="5" hidden="1">#REF!</definedName>
    <definedName name="_bdm.72EB89E721A1448DBD4A0575D5040E5B.edm" localSheetId="21" hidden="1">#REF!</definedName>
    <definedName name="_bdm.72EB89E721A1448DBD4A0575D5040E5B.edm" hidden="1">#REF!</definedName>
    <definedName name="_bdm.7E1F869AD2E2493A8E3723BF028DB57F.edm" localSheetId="6" hidden="1">#REF!</definedName>
    <definedName name="_bdm.7E1F869AD2E2493A8E3723BF028DB57F.edm" localSheetId="5" hidden="1">#REF!</definedName>
    <definedName name="_bdm.7E1F869AD2E2493A8E3723BF028DB57F.edm" localSheetId="21" hidden="1">#REF!</definedName>
    <definedName name="_bdm.7E1F869AD2E2493A8E3723BF028DB57F.edm" hidden="1">#REF!</definedName>
    <definedName name="_bdm.A1859D2E6DBB47C4A96DDC21DF00B18C.edm" localSheetId="6" hidden="1">#REF!</definedName>
    <definedName name="_bdm.A1859D2E6DBB47C4A96DDC21DF00B18C.edm" localSheetId="5" hidden="1">#REF!</definedName>
    <definedName name="_bdm.A1859D2E6DBB47C4A96DDC21DF00B18C.edm" localSheetId="21" hidden="1">#REF!</definedName>
    <definedName name="_bdm.A1859D2E6DBB47C4A96DDC21DF00B18C.edm" hidden="1">#REF!</definedName>
    <definedName name="_bdm.AE9DB05639844170A3B334497EDE4213.edm" localSheetId="6" hidden="1">#REF!</definedName>
    <definedName name="_bdm.AE9DB05639844170A3B334497EDE4213.edm" localSheetId="5" hidden="1">#REF!</definedName>
    <definedName name="_bdm.AE9DB05639844170A3B334497EDE4213.edm" localSheetId="21" hidden="1">#REF!</definedName>
    <definedName name="_bdm.AE9DB05639844170A3B334497EDE4213.edm" hidden="1">#REF!</definedName>
    <definedName name="_bdm.BDB3CD82C2DE4655B26CE0194783B2A4.edm" localSheetId="6" hidden="1">#REF!</definedName>
    <definedName name="_bdm.BDB3CD82C2DE4655B26CE0194783B2A4.edm" localSheetId="5" hidden="1">#REF!</definedName>
    <definedName name="_bdm.BDB3CD82C2DE4655B26CE0194783B2A4.edm" localSheetId="21" hidden="1">#REF!</definedName>
    <definedName name="_bdm.BDB3CD82C2DE4655B26CE0194783B2A4.edm" hidden="1">#REF!</definedName>
    <definedName name="_bdm.EDC29D1FE1F344DBAC6A7BE40BFC88FB.edm" localSheetId="6" hidden="1">#REF!</definedName>
    <definedName name="_bdm.EDC29D1FE1F344DBAC6A7BE40BFC88FB.edm" localSheetId="5" hidden="1">#REF!</definedName>
    <definedName name="_bdm.EDC29D1FE1F344DBAC6A7BE40BFC88FB.edm" localSheetId="21" hidden="1">#REF!</definedName>
    <definedName name="_bdm.EDC29D1FE1F344DBAC6A7BE40BFC88FB.edm" hidden="1">#REF!</definedName>
    <definedName name="_bdm.F58B819E41E24C2B99216BCC9154DBD9.edm" localSheetId="6" hidden="1">#REF!</definedName>
    <definedName name="_bdm.F58B819E41E24C2B99216BCC9154DBD9.edm" localSheetId="5" hidden="1">#REF!</definedName>
    <definedName name="_bdm.F58B819E41E24C2B99216BCC9154DBD9.edm" localSheetId="21" hidden="1">#REF!</definedName>
    <definedName name="_bdm.F58B819E41E24C2B99216BCC9154DBD9.edm" hidden="1">#REF!</definedName>
    <definedName name="_bdm.F6AB1E7E95D547DBB2DCB027145A2DB0.edm" localSheetId="6" hidden="1">#REF!</definedName>
    <definedName name="_bdm.F6AB1E7E95D547DBB2DCB027145A2DB0.edm" localSheetId="5" hidden="1">#REF!</definedName>
    <definedName name="_bdm.F6AB1E7E95D547DBB2DCB027145A2DB0.edm" localSheetId="21" hidden="1">#REF!</definedName>
    <definedName name="_bdm.F6AB1E7E95D547DBB2DCB027145A2DB0.edm" hidden="1">#REF!</definedName>
    <definedName name="_bdm.FA4784962DB845C28C35A22EF9035963.edm" localSheetId="6" hidden="1">#REF!</definedName>
    <definedName name="_bdm.FA4784962DB845C28C35A22EF9035963.edm" localSheetId="5" hidden="1">#REF!</definedName>
    <definedName name="_bdm.FA4784962DB845C28C35A22EF9035963.edm" localSheetId="21" hidden="1">#REF!</definedName>
    <definedName name="_bdm.FA4784962DB845C28C35A22EF9035963.edm" hidden="1">#REF!</definedName>
    <definedName name="_Dist_Values" localSheetId="6" hidden="1">#REF!</definedName>
    <definedName name="_Dist_Values" localSheetId="5" hidden="1">#REF!</definedName>
    <definedName name="_Dist_Values" localSheetId="21" hidden="1">#REF!</definedName>
    <definedName name="_Dist_Values" hidden="1">#REF!</definedName>
    <definedName name="_Fill" localSheetId="6" hidden="1">#REF!</definedName>
    <definedName name="_Fill" localSheetId="5" hidden="1">#REF!</definedName>
    <definedName name="_Fill" localSheetId="21" hidden="1">#REF!</definedName>
    <definedName name="_Fill" hidden="1">#REF!</definedName>
    <definedName name="_xlnm._FilterDatabase" localSheetId="13" hidden="1">#REF!</definedName>
    <definedName name="_xlnm._FilterDatabase" localSheetId="6" hidden="1">#REF!</definedName>
    <definedName name="_xlnm._FilterDatabase" localSheetId="5" hidden="1">#REF!</definedName>
    <definedName name="_xlnm._FilterDatabase" localSheetId="0" hidden="1">'Discount Groups'!$B$5:$G$92</definedName>
    <definedName name="_xlnm._FilterDatabase" localSheetId="14" hidden="1">#REF!</definedName>
    <definedName name="_xlnm._FilterDatabase" localSheetId="7" hidden="1">#REF!</definedName>
    <definedName name="_xlnm._FilterDatabase" localSheetId="21" hidden="1">#REF!</definedName>
    <definedName name="_xlnm._FilterDatabase" hidden="1">#REF!</definedName>
    <definedName name="_Key1" localSheetId="13" hidden="1">#REF!</definedName>
    <definedName name="_Key1" localSheetId="6" hidden="1">#REF!</definedName>
    <definedName name="_Key1" localSheetId="5" hidden="1">#REF!</definedName>
    <definedName name="_Key1" localSheetId="14" hidden="1">#REF!</definedName>
    <definedName name="_Key1" localSheetId="7" hidden="1">#REF!</definedName>
    <definedName name="_Key1" localSheetId="21" hidden="1">#REF!</definedName>
    <definedName name="_Key1" hidden="1">#REF!</definedName>
    <definedName name="_Key2" localSheetId="13" hidden="1">#REF!</definedName>
    <definedName name="_Key2" localSheetId="6" hidden="1">#REF!</definedName>
    <definedName name="_Key2" localSheetId="5" hidden="1">#REF!</definedName>
    <definedName name="_Key2" localSheetId="14" hidden="1">#REF!</definedName>
    <definedName name="_Key2" localSheetId="7" hidden="1">#REF!</definedName>
    <definedName name="_Key2" localSheetId="21" hidden="1">#REF!</definedName>
    <definedName name="_Key2" hidden="1">#REF!</definedName>
    <definedName name="_Order1" hidden="1">0</definedName>
    <definedName name="_Order2" hidden="1">255</definedName>
    <definedName name="_Sort" localSheetId="27" hidden="1">#REF!</definedName>
    <definedName name="_Sort" localSheetId="6" hidden="1">#REF!</definedName>
    <definedName name="_Sort" localSheetId="5" hidden="1">#REF!</definedName>
    <definedName name="_Sort" localSheetId="7" hidden="1">#REF!</definedName>
    <definedName name="_Sort" localSheetId="21" hidden="1">#REF!</definedName>
    <definedName name="_Sort" hidden="1">#REF!</definedName>
    <definedName name="_TT0804" localSheetId="27">#REF!</definedName>
    <definedName name="_TT0804" localSheetId="6">#REF!</definedName>
    <definedName name="_TT0804" localSheetId="5">#REF!</definedName>
    <definedName name="_TT0804" localSheetId="7">#REF!</definedName>
    <definedName name="_TT0804" localSheetId="21">#REF!</definedName>
    <definedName name="_TT0804">#REF!</definedName>
    <definedName name="_UNDO_UPS_" localSheetId="27" hidden="1">#REF!</definedName>
    <definedName name="_UNDO_UPS_" localSheetId="6" hidden="1">#REF!</definedName>
    <definedName name="_UNDO_UPS_" localSheetId="5" hidden="1">#REF!</definedName>
    <definedName name="_UNDO_UPS_" localSheetId="7" hidden="1">#REF!</definedName>
    <definedName name="_UNDO_UPS_" localSheetId="21" hidden="1">#REF!</definedName>
    <definedName name="_UNDO_UPS_" hidden="1">#REF!</definedName>
    <definedName name="_UNDO_UPS_SEL_" localSheetId="6" hidden="1">#REF!</definedName>
    <definedName name="_UNDO_UPS_SEL_" localSheetId="5" hidden="1">#REF!</definedName>
    <definedName name="_UNDO_UPS_SEL_" localSheetId="21" hidden="1">#REF!</definedName>
    <definedName name="_UNDO_UPS_SEL_" hidden="1">#REF!</definedName>
    <definedName name="_UNDO31X31X_" localSheetId="6" hidden="1">#REF!</definedName>
    <definedName name="_UNDO31X31X_" localSheetId="5" hidden="1">#REF!</definedName>
    <definedName name="_UNDO31X31X_" localSheetId="21" hidden="1">#REF!</definedName>
    <definedName name="_UNDO31X31X_" hidden="1">#REF!</definedName>
    <definedName name="a_controler_1" localSheetId="6">#REF!</definedName>
    <definedName name="a_controler_1" localSheetId="5">#REF!</definedName>
    <definedName name="a_controler_1" localSheetId="21">#REF!</definedName>
    <definedName name="a_controler_1">#REF!</definedName>
    <definedName name="AA.Report.Files" localSheetId="6" hidden="1">#REF!</definedName>
    <definedName name="AA.Report.Files" localSheetId="5" hidden="1">#REF!</definedName>
    <definedName name="AA.Report.Files" localSheetId="21" hidden="1">#REF!</definedName>
    <definedName name="AA.Report.Files" hidden="1">#REF!</definedName>
    <definedName name="AA.Reports.Available" localSheetId="6" hidden="1">#REF!</definedName>
    <definedName name="AA.Reports.Available" localSheetId="5" hidden="1">#REF!</definedName>
    <definedName name="AA.Reports.Available" localSheetId="21" hidden="1">#REF!</definedName>
    <definedName name="AA.Reports.Available" hidden="1">#REF!</definedName>
    <definedName name="AccessDatabase" hidden="1">"G:\account\96CONSOL\CONSOL.mdb"</definedName>
    <definedName name="Accruals" localSheetId="27">#REF!</definedName>
    <definedName name="Accruals" localSheetId="6">#REF!</definedName>
    <definedName name="Accruals" localSheetId="5">#REF!</definedName>
    <definedName name="Accruals">#REF!</definedName>
    <definedName name="actual042015" localSheetId="27">#REF!</definedName>
    <definedName name="actual042015" localSheetId="6">#REF!</definedName>
    <definedName name="actual042015" localSheetId="5">#REF!</definedName>
    <definedName name="actual042015" localSheetId="21">#REF!</definedName>
    <definedName name="actual042015">#REF!</definedName>
    <definedName name="actuals02242015" localSheetId="27">#REF!</definedName>
    <definedName name="actuals02242015" localSheetId="6">#REF!</definedName>
    <definedName name="actuals02242015" localSheetId="5">#REF!</definedName>
    <definedName name="actuals02242015" localSheetId="21">#REF!</definedName>
    <definedName name="actuals02242015">#REF!</definedName>
    <definedName name="Admin" localSheetId="6">#REF!</definedName>
    <definedName name="Admin" localSheetId="5">#REF!</definedName>
    <definedName name="Admin" localSheetId="21">#REF!</definedName>
    <definedName name="Admin">#REF!</definedName>
    <definedName name="AR" localSheetId="6">#REF!</definedName>
    <definedName name="AR" localSheetId="5">#REF!</definedName>
    <definedName name="AR" localSheetId="21">#REF!</definedName>
    <definedName name="AR">#REF!</definedName>
    <definedName name="AS2DocOpenMode" hidden="1">"AS2DocumentEdit"</definedName>
    <definedName name="AS2HasNoAutoHeaderFooter" hidden="1">" "</definedName>
    <definedName name="AS2NamedRange" hidden="1">6</definedName>
    <definedName name="AS2ReportLS" hidden="1">1</definedName>
    <definedName name="AS2SyncStepLS" hidden="1">0</definedName>
    <definedName name="AS2TickmarkLS" localSheetId="27" hidden="1">#REF!</definedName>
    <definedName name="AS2TickmarkLS" localSheetId="6" hidden="1">#REF!</definedName>
    <definedName name="AS2TickmarkLS" localSheetId="5" hidden="1">#REF!</definedName>
    <definedName name="AS2TickmarkLS" localSheetId="7" hidden="1">#REF!</definedName>
    <definedName name="AS2TickmarkLS" localSheetId="21" hidden="1">#REF!</definedName>
    <definedName name="AS2TickmarkLS" hidden="1">#REF!</definedName>
    <definedName name="AS2VersionLS" hidden="1">300</definedName>
    <definedName name="AsOfDate" localSheetId="27">#REF!</definedName>
    <definedName name="AsOfDate" localSheetId="6">#REF!</definedName>
    <definedName name="AsOfDate" localSheetId="5">#REF!</definedName>
    <definedName name="AsOfDate" localSheetId="7">#REF!</definedName>
    <definedName name="AsOfDate" localSheetId="21">#REF!</definedName>
    <definedName name="AsOfDate">#REF!</definedName>
    <definedName name="Assets_A" localSheetId="27">#REF!</definedName>
    <definedName name="Assets_A" localSheetId="6">#REF!</definedName>
    <definedName name="Assets_A" localSheetId="5">#REF!</definedName>
    <definedName name="Assets_A" localSheetId="21">#REF!</definedName>
    <definedName name="Assets_A">#REF!</definedName>
    <definedName name="Assets_B" localSheetId="27">#REF!</definedName>
    <definedName name="Assets_B" localSheetId="6">#REF!</definedName>
    <definedName name="Assets_B" localSheetId="5">#REF!</definedName>
    <definedName name="Assets_B" localSheetId="21">#REF!</definedName>
    <definedName name="Assets_B">#REF!</definedName>
    <definedName name="bank6120" localSheetId="6">#REF!</definedName>
    <definedName name="bank6120" localSheetId="5">#REF!</definedName>
    <definedName name="bank6120" localSheetId="21">#REF!</definedName>
    <definedName name="bank6120">#REF!</definedName>
    <definedName name="basecount" localSheetId="6">#REF!</definedName>
    <definedName name="basecount" localSheetId="5">#REF!</definedName>
    <definedName name="basecount" localSheetId="21">#REF!</definedName>
    <definedName name="basecount">#REF!</definedName>
    <definedName name="bbb" localSheetId="13" hidden="1">{#N/A,#N/A,FALSE,"toc";#N/A,#N/A,FALSE,"a1";#N/A,#N/A,FALSE,"a2";#N/A,#N/A,FALSE,"a3";#N/A,#N/A,FALSE,"a4";#N/A,#N/A,FALSE,"a5";#N/A,#N/A,FALSE,"a6";#N/A,#N/A,FALSE,"a7";#N/A,#N/A,FALSE,"a8";#N/A,#N/A,FALSE,"a9";#N/A,#N/A,FALSE,"a10";#N/A,#N/A,FALSE,"a11";#N/A,#N/A,FALSE,"a12";#N/A,#N/A,FALSE,"a13";#N/A,#N/A,FALSE,"a14";#N/A,#N/A,FALSE,"a15";#N/A,#N/A,FALSE,"a16";#N/A,#N/A,FALSE,"a17";#N/A,#N/A,FALSE,"a18";#N/A,#N/A,FALSE,"a19";#N/A,#N/A,FALSE,"a20";#N/A,#N/A,FALSE,"a21";#N/A,#N/A,FALSE,"a22";#N/A,#N/A,FALSE,"a23";#N/A,#N/A,FALSE,"a24";#N/A,#N/A,FALSE,"a25"}</definedName>
    <definedName name="bbb" localSheetId="27" hidden="1">{#N/A,#N/A,FALSE,"toc";#N/A,#N/A,FALSE,"a1";#N/A,#N/A,FALSE,"a2";#N/A,#N/A,FALSE,"a3";#N/A,#N/A,FALSE,"a4";#N/A,#N/A,FALSE,"a5";#N/A,#N/A,FALSE,"a6";#N/A,#N/A,FALSE,"a7";#N/A,#N/A,FALSE,"a8";#N/A,#N/A,FALSE,"a9";#N/A,#N/A,FALSE,"a10";#N/A,#N/A,FALSE,"a11";#N/A,#N/A,FALSE,"a12";#N/A,#N/A,FALSE,"a13";#N/A,#N/A,FALSE,"a14";#N/A,#N/A,FALSE,"a15";#N/A,#N/A,FALSE,"a16";#N/A,#N/A,FALSE,"a17";#N/A,#N/A,FALSE,"a18";#N/A,#N/A,FALSE,"a19";#N/A,#N/A,FALSE,"a20";#N/A,#N/A,FALSE,"a21";#N/A,#N/A,FALSE,"a22";#N/A,#N/A,FALSE,"a23";#N/A,#N/A,FALSE,"a24";#N/A,#N/A,FALSE,"a25"}</definedName>
    <definedName name="bbb" localSheetId="6" hidden="1">{#N/A,#N/A,FALSE,"toc";#N/A,#N/A,FALSE,"a1";#N/A,#N/A,FALSE,"a2";#N/A,#N/A,FALSE,"a3";#N/A,#N/A,FALSE,"a4";#N/A,#N/A,FALSE,"a5";#N/A,#N/A,FALSE,"a6";#N/A,#N/A,FALSE,"a7";#N/A,#N/A,FALSE,"a8";#N/A,#N/A,FALSE,"a9";#N/A,#N/A,FALSE,"a10";#N/A,#N/A,FALSE,"a11";#N/A,#N/A,FALSE,"a12";#N/A,#N/A,FALSE,"a13";#N/A,#N/A,FALSE,"a14";#N/A,#N/A,FALSE,"a15";#N/A,#N/A,FALSE,"a16";#N/A,#N/A,FALSE,"a17";#N/A,#N/A,FALSE,"a18";#N/A,#N/A,FALSE,"a19";#N/A,#N/A,FALSE,"a20";#N/A,#N/A,FALSE,"a21";#N/A,#N/A,FALSE,"a22";#N/A,#N/A,FALSE,"a23";#N/A,#N/A,FALSE,"a24";#N/A,#N/A,FALSE,"a25"}</definedName>
    <definedName name="bbb" localSheetId="5" hidden="1">{#N/A,#N/A,FALSE,"toc";#N/A,#N/A,FALSE,"a1";#N/A,#N/A,FALSE,"a2";#N/A,#N/A,FALSE,"a3";#N/A,#N/A,FALSE,"a4";#N/A,#N/A,FALSE,"a5";#N/A,#N/A,FALSE,"a6";#N/A,#N/A,FALSE,"a7";#N/A,#N/A,FALSE,"a8";#N/A,#N/A,FALSE,"a9";#N/A,#N/A,FALSE,"a10";#N/A,#N/A,FALSE,"a11";#N/A,#N/A,FALSE,"a12";#N/A,#N/A,FALSE,"a13";#N/A,#N/A,FALSE,"a14";#N/A,#N/A,FALSE,"a15";#N/A,#N/A,FALSE,"a16";#N/A,#N/A,FALSE,"a17";#N/A,#N/A,FALSE,"a18";#N/A,#N/A,FALSE,"a19";#N/A,#N/A,FALSE,"a20";#N/A,#N/A,FALSE,"a21";#N/A,#N/A,FALSE,"a22";#N/A,#N/A,FALSE,"a23";#N/A,#N/A,FALSE,"a24";#N/A,#N/A,FALSE,"a25"}</definedName>
    <definedName name="bbb" localSheetId="14" hidden="1">{#N/A,#N/A,FALSE,"toc";#N/A,#N/A,FALSE,"a1";#N/A,#N/A,FALSE,"a2";#N/A,#N/A,FALSE,"a3";#N/A,#N/A,FALSE,"a4";#N/A,#N/A,FALSE,"a5";#N/A,#N/A,FALSE,"a6";#N/A,#N/A,FALSE,"a7";#N/A,#N/A,FALSE,"a8";#N/A,#N/A,FALSE,"a9";#N/A,#N/A,FALSE,"a10";#N/A,#N/A,FALSE,"a11";#N/A,#N/A,FALSE,"a12";#N/A,#N/A,FALSE,"a13";#N/A,#N/A,FALSE,"a14";#N/A,#N/A,FALSE,"a15";#N/A,#N/A,FALSE,"a16";#N/A,#N/A,FALSE,"a17";#N/A,#N/A,FALSE,"a18";#N/A,#N/A,FALSE,"a19";#N/A,#N/A,FALSE,"a20";#N/A,#N/A,FALSE,"a21";#N/A,#N/A,FALSE,"a22";#N/A,#N/A,FALSE,"a23";#N/A,#N/A,FALSE,"a24";#N/A,#N/A,FALSE,"a25"}</definedName>
    <definedName name="bbb" localSheetId="7" hidden="1">{#N/A,#N/A,FALSE,"toc";#N/A,#N/A,FALSE,"a1";#N/A,#N/A,FALSE,"a2";#N/A,#N/A,FALSE,"a3";#N/A,#N/A,FALSE,"a4";#N/A,#N/A,FALSE,"a5";#N/A,#N/A,FALSE,"a6";#N/A,#N/A,FALSE,"a7";#N/A,#N/A,FALSE,"a8";#N/A,#N/A,FALSE,"a9";#N/A,#N/A,FALSE,"a10";#N/A,#N/A,FALSE,"a11";#N/A,#N/A,FALSE,"a12";#N/A,#N/A,FALSE,"a13";#N/A,#N/A,FALSE,"a14";#N/A,#N/A,FALSE,"a15";#N/A,#N/A,FALSE,"a16";#N/A,#N/A,FALSE,"a17";#N/A,#N/A,FALSE,"a18";#N/A,#N/A,FALSE,"a19";#N/A,#N/A,FALSE,"a20";#N/A,#N/A,FALSE,"a21";#N/A,#N/A,FALSE,"a22";#N/A,#N/A,FALSE,"a23";#N/A,#N/A,FALSE,"a24";#N/A,#N/A,FALSE,"a25"}</definedName>
    <definedName name="bbb" localSheetId="21" hidden="1">{#N/A,#N/A,FALSE,"toc";#N/A,#N/A,FALSE,"a1";#N/A,#N/A,FALSE,"a2";#N/A,#N/A,FALSE,"a3";#N/A,#N/A,FALSE,"a4";#N/A,#N/A,FALSE,"a5";#N/A,#N/A,FALSE,"a6";#N/A,#N/A,FALSE,"a7";#N/A,#N/A,FALSE,"a8";#N/A,#N/A,FALSE,"a9";#N/A,#N/A,FALSE,"a10";#N/A,#N/A,FALSE,"a11";#N/A,#N/A,FALSE,"a12";#N/A,#N/A,FALSE,"a13";#N/A,#N/A,FALSE,"a14";#N/A,#N/A,FALSE,"a15";#N/A,#N/A,FALSE,"a16";#N/A,#N/A,FALSE,"a17";#N/A,#N/A,FALSE,"a18";#N/A,#N/A,FALSE,"a19";#N/A,#N/A,FALSE,"a20";#N/A,#N/A,FALSE,"a21";#N/A,#N/A,FALSE,"a22";#N/A,#N/A,FALSE,"a23";#N/A,#N/A,FALSE,"a24";#N/A,#N/A,FALSE,"a25"}</definedName>
    <definedName name="bbb" localSheetId="20" hidden="1">{#N/A,#N/A,FALSE,"toc";#N/A,#N/A,FALSE,"a1";#N/A,#N/A,FALSE,"a2";#N/A,#N/A,FALSE,"a3";#N/A,#N/A,FALSE,"a4";#N/A,#N/A,FALSE,"a5";#N/A,#N/A,FALSE,"a6";#N/A,#N/A,FALSE,"a7";#N/A,#N/A,FALSE,"a8";#N/A,#N/A,FALSE,"a9";#N/A,#N/A,FALSE,"a10";#N/A,#N/A,FALSE,"a11";#N/A,#N/A,FALSE,"a12";#N/A,#N/A,FALSE,"a13";#N/A,#N/A,FALSE,"a14";#N/A,#N/A,FALSE,"a15";#N/A,#N/A,FALSE,"a16";#N/A,#N/A,FALSE,"a17";#N/A,#N/A,FALSE,"a18";#N/A,#N/A,FALSE,"a19";#N/A,#N/A,FALSE,"a20";#N/A,#N/A,FALSE,"a21";#N/A,#N/A,FALSE,"a22";#N/A,#N/A,FALSE,"a23";#N/A,#N/A,FALSE,"a24";#N/A,#N/A,FALSE,"a25"}</definedName>
    <definedName name="bbb" localSheetId="17" hidden="1">{#N/A,#N/A,FALSE,"toc";#N/A,#N/A,FALSE,"a1";#N/A,#N/A,FALSE,"a2";#N/A,#N/A,FALSE,"a3";#N/A,#N/A,FALSE,"a4";#N/A,#N/A,FALSE,"a5";#N/A,#N/A,FALSE,"a6";#N/A,#N/A,FALSE,"a7";#N/A,#N/A,FALSE,"a8";#N/A,#N/A,FALSE,"a9";#N/A,#N/A,FALSE,"a10";#N/A,#N/A,FALSE,"a11";#N/A,#N/A,FALSE,"a12";#N/A,#N/A,FALSE,"a13";#N/A,#N/A,FALSE,"a14";#N/A,#N/A,FALSE,"a15";#N/A,#N/A,FALSE,"a16";#N/A,#N/A,FALSE,"a17";#N/A,#N/A,FALSE,"a18";#N/A,#N/A,FALSE,"a19";#N/A,#N/A,FALSE,"a20";#N/A,#N/A,FALSE,"a21";#N/A,#N/A,FALSE,"a22";#N/A,#N/A,FALSE,"a23";#N/A,#N/A,FALSE,"a24";#N/A,#N/A,FALSE,"a25"}</definedName>
    <definedName name="bbb" localSheetId="18" hidden="1">{#N/A,#N/A,FALSE,"toc";#N/A,#N/A,FALSE,"a1";#N/A,#N/A,FALSE,"a2";#N/A,#N/A,FALSE,"a3";#N/A,#N/A,FALSE,"a4";#N/A,#N/A,FALSE,"a5";#N/A,#N/A,FALSE,"a6";#N/A,#N/A,FALSE,"a7";#N/A,#N/A,FALSE,"a8";#N/A,#N/A,FALSE,"a9";#N/A,#N/A,FALSE,"a10";#N/A,#N/A,FALSE,"a11";#N/A,#N/A,FALSE,"a12";#N/A,#N/A,FALSE,"a13";#N/A,#N/A,FALSE,"a14";#N/A,#N/A,FALSE,"a15";#N/A,#N/A,FALSE,"a16";#N/A,#N/A,FALSE,"a17";#N/A,#N/A,FALSE,"a18";#N/A,#N/A,FALSE,"a19";#N/A,#N/A,FALSE,"a20";#N/A,#N/A,FALSE,"a21";#N/A,#N/A,FALSE,"a22";#N/A,#N/A,FALSE,"a23";#N/A,#N/A,FALSE,"a24";#N/A,#N/A,FALSE,"a25"}</definedName>
    <definedName name="bbb" localSheetId="1" hidden="1">{#N/A,#N/A,FALSE,"toc";#N/A,#N/A,FALSE,"a1";#N/A,#N/A,FALSE,"a2";#N/A,#N/A,FALSE,"a3";#N/A,#N/A,FALSE,"a4";#N/A,#N/A,FALSE,"a5";#N/A,#N/A,FALSE,"a6";#N/A,#N/A,FALSE,"a7";#N/A,#N/A,FALSE,"a8";#N/A,#N/A,FALSE,"a9";#N/A,#N/A,FALSE,"a10";#N/A,#N/A,FALSE,"a11";#N/A,#N/A,FALSE,"a12";#N/A,#N/A,FALSE,"a13";#N/A,#N/A,FALSE,"a14";#N/A,#N/A,FALSE,"a15";#N/A,#N/A,FALSE,"a16";#N/A,#N/A,FALSE,"a17";#N/A,#N/A,FALSE,"a18";#N/A,#N/A,FALSE,"a19";#N/A,#N/A,FALSE,"a20";#N/A,#N/A,FALSE,"a21";#N/A,#N/A,FALSE,"a22";#N/A,#N/A,FALSE,"a23";#N/A,#N/A,FALSE,"a24";#N/A,#N/A,FALSE,"a25"}</definedName>
    <definedName name="bbb" localSheetId="19" hidden="1">{#N/A,#N/A,FALSE,"toc";#N/A,#N/A,FALSE,"a1";#N/A,#N/A,FALSE,"a2";#N/A,#N/A,FALSE,"a3";#N/A,#N/A,FALSE,"a4";#N/A,#N/A,FALSE,"a5";#N/A,#N/A,FALSE,"a6";#N/A,#N/A,FALSE,"a7";#N/A,#N/A,FALSE,"a8";#N/A,#N/A,FALSE,"a9";#N/A,#N/A,FALSE,"a10";#N/A,#N/A,FALSE,"a11";#N/A,#N/A,FALSE,"a12";#N/A,#N/A,FALSE,"a13";#N/A,#N/A,FALSE,"a14";#N/A,#N/A,FALSE,"a15";#N/A,#N/A,FALSE,"a16";#N/A,#N/A,FALSE,"a17";#N/A,#N/A,FALSE,"a18";#N/A,#N/A,FALSE,"a19";#N/A,#N/A,FALSE,"a20";#N/A,#N/A,FALSE,"a21";#N/A,#N/A,FALSE,"a22";#N/A,#N/A,FALSE,"a23";#N/A,#N/A,FALSE,"a24";#N/A,#N/A,FALSE,"a25"}</definedName>
    <definedName name="bbb" hidden="1">{#N/A,#N/A,FALSE,"toc";#N/A,#N/A,FALSE,"a1";#N/A,#N/A,FALSE,"a2";#N/A,#N/A,FALSE,"a3";#N/A,#N/A,FALSE,"a4";#N/A,#N/A,FALSE,"a5";#N/A,#N/A,FALSE,"a6";#N/A,#N/A,FALSE,"a7";#N/A,#N/A,FALSE,"a8";#N/A,#N/A,FALSE,"a9";#N/A,#N/A,FALSE,"a10";#N/A,#N/A,FALSE,"a11";#N/A,#N/A,FALSE,"a12";#N/A,#N/A,FALSE,"a13";#N/A,#N/A,FALSE,"a14";#N/A,#N/A,FALSE,"a15";#N/A,#N/A,FALSE,"a16";#N/A,#N/A,FALSE,"a17";#N/A,#N/A,FALSE,"a18";#N/A,#N/A,FALSE,"a19";#N/A,#N/A,FALSE,"a20";#N/A,#N/A,FALSE,"a21";#N/A,#N/A,FALSE,"a22";#N/A,#N/A,FALSE,"a23";#N/A,#N/A,FALSE,"a24";#N/A,#N/A,FALSE,"a25"}</definedName>
    <definedName name="BEx3HMSEFOP6DBM4R97XA6B7NFG6" localSheetId="27" hidden="1">#REF!</definedName>
    <definedName name="BEx3HMSEFOP6DBM4R97XA6B7NFG6" localSheetId="6" hidden="1">#REF!</definedName>
    <definedName name="BEx3HMSEFOP6DBM4R97XA6B7NFG6" localSheetId="5" hidden="1">#REF!</definedName>
    <definedName name="BEx3HMSEFOP6DBM4R97XA6B7NFG6" localSheetId="7" hidden="1">#REF!</definedName>
    <definedName name="BEx3HMSEFOP6DBM4R97XA6B7NFG6" localSheetId="21" hidden="1">#REF!</definedName>
    <definedName name="BEx3HMSEFOP6DBM4R97XA6B7NFG6" hidden="1">#REF!</definedName>
    <definedName name="BEx90MM3LYEQHP212TVNSOIVDB13" localSheetId="27" hidden="1">#REF!</definedName>
    <definedName name="BEx90MM3LYEQHP212TVNSOIVDB13" localSheetId="6" hidden="1">#REF!</definedName>
    <definedName name="BEx90MM3LYEQHP212TVNSOIVDB13" localSheetId="5" hidden="1">#REF!</definedName>
    <definedName name="BEx90MM3LYEQHP212TVNSOIVDB13" localSheetId="7" hidden="1">#REF!</definedName>
    <definedName name="BEx90MM3LYEQHP212TVNSOIVDB13" localSheetId="21" hidden="1">#REF!</definedName>
    <definedName name="BEx90MM3LYEQHP212TVNSOIVDB13" hidden="1">#REF!</definedName>
    <definedName name="BEx91OTVH9ZDBC3QTORU8RZX4EOC" localSheetId="27" hidden="1">#REF!</definedName>
    <definedName name="BEx91OTVH9ZDBC3QTORU8RZX4EOC" localSheetId="6" hidden="1">#REF!</definedName>
    <definedName name="BEx91OTVH9ZDBC3QTORU8RZX4EOC" localSheetId="5" hidden="1">#REF!</definedName>
    <definedName name="BEx91OTVH9ZDBC3QTORU8RZX4EOC" localSheetId="7" hidden="1">#REF!</definedName>
    <definedName name="BEx91OTVH9ZDBC3QTORU8RZX4EOC" localSheetId="21" hidden="1">#REF!</definedName>
    <definedName name="BEx91OTVH9ZDBC3QTORU8RZX4EOC" hidden="1">#REF!</definedName>
    <definedName name="BEx93TJUX3U0FJDBG6DDSNQ91R5J" localSheetId="6" hidden="1">#REF!</definedName>
    <definedName name="BEx93TJUX3U0FJDBG6DDSNQ91R5J" localSheetId="5" hidden="1">#REF!</definedName>
    <definedName name="BEx93TJUX3U0FJDBG6DDSNQ91R5J" localSheetId="21" hidden="1">#REF!</definedName>
    <definedName name="BEx93TJUX3U0FJDBG6DDSNQ91R5J" hidden="1">#REF!</definedName>
    <definedName name="BEx9D1BC9FT19KY0INAABNDBAMR1" localSheetId="6" hidden="1">#REF!</definedName>
    <definedName name="BEx9D1BC9FT19KY0INAABNDBAMR1" localSheetId="5" hidden="1">#REF!</definedName>
    <definedName name="BEx9D1BC9FT19KY0INAABNDBAMR1" localSheetId="21" hidden="1">#REF!</definedName>
    <definedName name="BEx9D1BC9FT19KY0INAABNDBAMR1" hidden="1">#REF!</definedName>
    <definedName name="BExBDBZQLTX3OGFYGULQFK5WEZU5" localSheetId="6" hidden="1">#REF!</definedName>
    <definedName name="BExBDBZQLTX3OGFYGULQFK5WEZU5" localSheetId="5" hidden="1">#REF!</definedName>
    <definedName name="BExBDBZQLTX3OGFYGULQFK5WEZU5" localSheetId="21" hidden="1">#REF!</definedName>
    <definedName name="BExBDBZQLTX3OGFYGULQFK5WEZU5" hidden="1">#REF!</definedName>
    <definedName name="BExD3F368X5S25MWSUNIV57RDB57" localSheetId="6" hidden="1">#REF!</definedName>
    <definedName name="BExD3F368X5S25MWSUNIV57RDB57" localSheetId="5" hidden="1">#REF!</definedName>
    <definedName name="BExD3F368X5S25MWSUNIV57RDB57" localSheetId="21" hidden="1">#REF!</definedName>
    <definedName name="BExD3F368X5S25MWSUNIV57RDB57" hidden="1">#REF!</definedName>
    <definedName name="BExD4JJSS3QDBLABCJCHD45SRNPI" localSheetId="6" hidden="1">#REF!</definedName>
    <definedName name="BExD4JJSS3QDBLABCJCHD45SRNPI" localSheetId="5" hidden="1">#REF!</definedName>
    <definedName name="BExD4JJSS3QDBLABCJCHD45SRNPI" localSheetId="21" hidden="1">#REF!</definedName>
    <definedName name="BExD4JJSS3QDBLABCJCHD45SRNPI" hidden="1">#REF!</definedName>
    <definedName name="BExDBDR1XR0FV0CYUCB2OJ7CJCZU" localSheetId="6" hidden="1">#REF!</definedName>
    <definedName name="BExDBDR1XR0FV0CYUCB2OJ7CJCZU" localSheetId="5" hidden="1">#REF!</definedName>
    <definedName name="BExDBDR1XR0FV0CYUCB2OJ7CJCZU" localSheetId="21" hidden="1">#REF!</definedName>
    <definedName name="BExDBDR1XR0FV0CYUCB2OJ7CJCZU" hidden="1">#REF!</definedName>
    <definedName name="BExF2DYO1WQ7GMXSTAQRDBW1NSFG" localSheetId="6" hidden="1">#REF!</definedName>
    <definedName name="BExF2DYO1WQ7GMXSTAQRDBW1NSFG" localSheetId="5" hidden="1">#REF!</definedName>
    <definedName name="BExF2DYO1WQ7GMXSTAQRDBW1NSFG" localSheetId="21" hidden="1">#REF!</definedName>
    <definedName name="BExF2DYO1WQ7GMXSTAQRDBW1NSFG" hidden="1">#REF!</definedName>
    <definedName name="BExGNSS0CKRPKHO25R3TDBEL2NHX" localSheetId="6" hidden="1">#REF!</definedName>
    <definedName name="BExGNSS0CKRPKHO25R3TDBEL2NHX" localSheetId="5" hidden="1">#REF!</definedName>
    <definedName name="BExGNSS0CKRPKHO25R3TDBEL2NHX" localSheetId="21" hidden="1">#REF!</definedName>
    <definedName name="BExGNSS0CKRPKHO25R3TDBEL2NHX" hidden="1">#REF!</definedName>
    <definedName name="BExGODAZKJ9EXMQZNQR5YDBSS525" localSheetId="6" hidden="1">#REF!</definedName>
    <definedName name="BExGODAZKJ9EXMQZNQR5YDBSS525" localSheetId="5" hidden="1">#REF!</definedName>
    <definedName name="BExGODAZKJ9EXMQZNQR5YDBSS525" localSheetId="21" hidden="1">#REF!</definedName>
    <definedName name="BExGODAZKJ9EXMQZNQR5YDBSS525" hidden="1">#REF!</definedName>
    <definedName name="BExGU6HTKLRZO8UOI3DTAM5RFDBA" localSheetId="6" hidden="1">#REF!</definedName>
    <definedName name="BExGU6HTKLRZO8UOI3DTAM5RFDBA" localSheetId="5" hidden="1">#REF!</definedName>
    <definedName name="BExGU6HTKLRZO8UOI3DTAM5RFDBA" localSheetId="21" hidden="1">#REF!</definedName>
    <definedName name="BExGU6HTKLRZO8UOI3DTAM5RFDBA" hidden="1">#REF!</definedName>
    <definedName name="BExH1FDTQXR9QQ31WDB7OPXU7MPT" localSheetId="6" hidden="1">#REF!</definedName>
    <definedName name="BExH1FDTQXR9QQ31WDB7OPXU7MPT" localSheetId="5" hidden="1">#REF!</definedName>
    <definedName name="BExH1FDTQXR9QQ31WDB7OPXU7MPT" localSheetId="21" hidden="1">#REF!</definedName>
    <definedName name="BExH1FDTQXR9QQ31WDB7OPXU7MPT" hidden="1">#REF!</definedName>
    <definedName name="BExIM9DBUB7ZGF4B20FVUO9QGOX2" localSheetId="6" hidden="1">#REF!</definedName>
    <definedName name="BExIM9DBUB7ZGF4B20FVUO9QGOX2" localSheetId="5" hidden="1">#REF!</definedName>
    <definedName name="BExIM9DBUB7ZGF4B20FVUO9QGOX2" localSheetId="21" hidden="1">#REF!</definedName>
    <definedName name="BExIM9DBUB7ZGF4B20FVUO9QGOX2" hidden="1">#REF!</definedName>
    <definedName name="BExIR8FQETPTQYW37DBVDWG3J4JW" localSheetId="6" hidden="1">#REF!</definedName>
    <definedName name="BExIR8FQETPTQYW37DBVDWG3J4JW" localSheetId="5" hidden="1">#REF!</definedName>
    <definedName name="BExIR8FQETPTQYW37DBVDWG3J4JW" localSheetId="21" hidden="1">#REF!</definedName>
    <definedName name="BExIR8FQETPTQYW37DBVDWG3J4JW" hidden="1">#REF!</definedName>
    <definedName name="BExIWB3SY3WRIVIOF988DNNODBOA" localSheetId="6" hidden="1">#REF!</definedName>
    <definedName name="BExIWB3SY3WRIVIOF988DNNODBOA" localSheetId="5" hidden="1">#REF!</definedName>
    <definedName name="BExIWB3SY3WRIVIOF988DNNODBOA" localSheetId="21" hidden="1">#REF!</definedName>
    <definedName name="BExIWB3SY3WRIVIOF988DNNODBOA" hidden="1">#REF!</definedName>
    <definedName name="BExIX34PM5DBTRHRQWP6PL6WIX88" localSheetId="6" hidden="1">#REF!</definedName>
    <definedName name="BExIX34PM5DBTRHRQWP6PL6WIX88" localSheetId="5" hidden="1">#REF!</definedName>
    <definedName name="BExIX34PM5DBTRHRQWP6PL6WIX88" localSheetId="21" hidden="1">#REF!</definedName>
    <definedName name="BExIX34PM5DBTRHRQWP6PL6WIX88" hidden="1">#REF!</definedName>
    <definedName name="BExKQJGAAWNM3NT19E9I0CQDBTU0" localSheetId="6" hidden="1">#REF!</definedName>
    <definedName name="BExKQJGAAWNM3NT19E9I0CQDBTU0" localSheetId="5" hidden="1">#REF!</definedName>
    <definedName name="BExKQJGAAWNM3NT19E9I0CQDBTU0" localSheetId="21" hidden="1">#REF!</definedName>
    <definedName name="BExKQJGAAWNM3NT19E9I0CQDBTU0" hidden="1">#REF!</definedName>
    <definedName name="BExMCFSQFSEMPY5IXDIRKZDASDBR" localSheetId="6" hidden="1">#REF!</definedName>
    <definedName name="BExMCFSQFSEMPY5IXDIRKZDASDBR" localSheetId="5" hidden="1">#REF!</definedName>
    <definedName name="BExMCFSQFSEMPY5IXDIRKZDASDBR" localSheetId="21" hidden="1">#REF!</definedName>
    <definedName name="BExMCFSQFSEMPY5IXDIRKZDASDBR" hidden="1">#REF!</definedName>
    <definedName name="BExO8UTAGQWDBQZEEF4HUNMLQCVU" localSheetId="6" hidden="1">#REF!</definedName>
    <definedName name="BExO8UTAGQWDBQZEEF4HUNMLQCVU" localSheetId="5" hidden="1">#REF!</definedName>
    <definedName name="BExO8UTAGQWDBQZEEF4HUNMLQCVU" localSheetId="21" hidden="1">#REF!</definedName>
    <definedName name="BExO8UTAGQWDBQZEEF4HUNMLQCVU" hidden="1">#REF!</definedName>
    <definedName name="BExQ8ZCEDBOBJA3D9LDP5TU2WYGR" localSheetId="6" hidden="1">#REF!</definedName>
    <definedName name="BExQ8ZCEDBOBJA3D9LDP5TU2WYGR" localSheetId="5" hidden="1">#REF!</definedName>
    <definedName name="BExQ8ZCEDBOBJA3D9LDP5TU2WYGR" localSheetId="21" hidden="1">#REF!</definedName>
    <definedName name="BExQ8ZCEDBOBJA3D9LDP5TU2WYGR" hidden="1">#REF!</definedName>
    <definedName name="BExQDB6VCHN8PNX8EA6JNIEQ2JC2" localSheetId="6" hidden="1">#REF!</definedName>
    <definedName name="BExQDB6VCHN8PNX8EA6JNIEQ2JC2" localSheetId="5" hidden="1">#REF!</definedName>
    <definedName name="BExQDB6VCHN8PNX8EA6JNIEQ2JC2" localSheetId="21" hidden="1">#REF!</definedName>
    <definedName name="BExQDB6VCHN8PNX8EA6JNIEQ2JC2" hidden="1">#REF!</definedName>
    <definedName name="BExQFC0M9KKFMQKPLPEO2RQDB7MM" localSheetId="6" hidden="1">#REF!</definedName>
    <definedName name="BExQFC0M9KKFMQKPLPEO2RQDB7MM" localSheetId="5" hidden="1">#REF!</definedName>
    <definedName name="BExQFC0M9KKFMQKPLPEO2RQDB7MM" localSheetId="21" hidden="1">#REF!</definedName>
    <definedName name="BExQFC0M9KKFMQKPLPEO2RQDB7MM" hidden="1">#REF!</definedName>
    <definedName name="BExS6WRDBF3ST86ZOBBUL3GTCR11" localSheetId="6" hidden="1">#REF!</definedName>
    <definedName name="BExS6WRDBF3ST86ZOBBUL3GTCR11" localSheetId="5" hidden="1">#REF!</definedName>
    <definedName name="BExS6WRDBF3ST86ZOBBUL3GTCR11" localSheetId="21" hidden="1">#REF!</definedName>
    <definedName name="BExS6WRDBF3ST86ZOBBUL3GTCR11" hidden="1">#REF!</definedName>
    <definedName name="BExTUSQCFFYZCDNHWHADBC2E1ZP1" localSheetId="6" hidden="1">#REF!</definedName>
    <definedName name="BExTUSQCFFYZCDNHWHADBC2E1ZP1" localSheetId="5" hidden="1">#REF!</definedName>
    <definedName name="BExTUSQCFFYZCDNHWHADBC2E1ZP1" localSheetId="21" hidden="1">#REF!</definedName>
    <definedName name="BExTUSQCFFYZCDNHWHADBC2E1ZP1" hidden="1">#REF!</definedName>
    <definedName name="BExUC623BDYEODBN0N4DO6PJQ7NU" localSheetId="6" hidden="1">#REF!</definedName>
    <definedName name="BExUC623BDYEODBN0N4DO6PJQ7NU" localSheetId="5" hidden="1">#REF!</definedName>
    <definedName name="BExUC623BDYEODBN0N4DO6PJQ7NU" localSheetId="21" hidden="1">#REF!</definedName>
    <definedName name="BExUC623BDYEODBN0N4DO6PJQ7NU" hidden="1">#REF!</definedName>
    <definedName name="BExUDBEUJH9IACZDBL1VAUWPG0QW" localSheetId="6" hidden="1">#REF!</definedName>
    <definedName name="BExUDBEUJH9IACZDBL1VAUWPG0QW" localSheetId="5" hidden="1">#REF!</definedName>
    <definedName name="BExUDBEUJH9IACZDBL1VAUWPG0QW" localSheetId="21" hidden="1">#REF!</definedName>
    <definedName name="BExUDBEUJH9IACZDBL1VAUWPG0QW" hidden="1">#REF!</definedName>
    <definedName name="BExVX3XN2DRJKL8EDBIG58RYQ36R" localSheetId="6" hidden="1">#REF!</definedName>
    <definedName name="BExVX3XN2DRJKL8EDBIG58RYQ36R" localSheetId="5" hidden="1">#REF!</definedName>
    <definedName name="BExVX3XN2DRJKL8EDBIG58RYQ36R" localSheetId="21" hidden="1">#REF!</definedName>
    <definedName name="BExVX3XN2DRJKL8EDBIG58RYQ36R" hidden="1">#REF!</definedName>
    <definedName name="BExXXBM521DL8R4ZX7NZ3DBCUOR5" localSheetId="6" hidden="1">#REF!</definedName>
    <definedName name="BExXXBM521DL8R4ZX7NZ3DBCUOR5" localSheetId="5" hidden="1">#REF!</definedName>
    <definedName name="BExXXBM521DL8R4ZX7NZ3DBCUOR5" localSheetId="21" hidden="1">#REF!</definedName>
    <definedName name="BExXXBM521DL8R4ZX7NZ3DBCUOR5" hidden="1">#REF!</definedName>
    <definedName name="BG_Del" hidden="1">15</definedName>
    <definedName name="BG_Ins" hidden="1">4</definedName>
    <definedName name="BG_Mod" hidden="1">6</definedName>
    <definedName name="billratetable" localSheetId="27">#REF!</definedName>
    <definedName name="billratetable" localSheetId="6">#REF!</definedName>
    <definedName name="billratetable" localSheetId="5">#REF!</definedName>
    <definedName name="billratetable" localSheetId="21">#REF!</definedName>
    <definedName name="billratetable">#REF!</definedName>
    <definedName name="BLACK_OX_ZZ_PIN">#REF!</definedName>
    <definedName name="BONUSCOMMISSIONCOUNT" localSheetId="27">#REF!</definedName>
    <definedName name="BONUSCOMMISSIONCOUNT" localSheetId="6">#REF!</definedName>
    <definedName name="BONUSCOMMISSIONCOUNT" localSheetId="5">#REF!</definedName>
    <definedName name="BONUSCOMMISSIONCOUNT" localSheetId="21">#REF!</definedName>
    <definedName name="BONUSCOMMISSIONCOUNT">#REF!</definedName>
    <definedName name="building_PPA" localSheetId="27">#REF!</definedName>
    <definedName name="building_PPA" localSheetId="6">#REF!</definedName>
    <definedName name="building_PPA" localSheetId="5">#REF!</definedName>
    <definedName name="building_PPA" localSheetId="21">#REF!</definedName>
    <definedName name="building_PPA">#REF!</definedName>
    <definedName name="Building_tax_period" localSheetId="27">#REF!</definedName>
    <definedName name="Building_tax_period" localSheetId="6">#REF!</definedName>
    <definedName name="Building_tax_period" localSheetId="5">#REF!</definedName>
    <definedName name="Building_tax_period" localSheetId="21">#REF!</definedName>
    <definedName name="Building_tax_period">#REF!</definedName>
    <definedName name="buildings_A" localSheetId="6">#REF!</definedName>
    <definedName name="buildings_A" localSheetId="5">#REF!</definedName>
    <definedName name="buildings_A" localSheetId="21">#REF!</definedName>
    <definedName name="buildings_A">#REF!</definedName>
    <definedName name="buildings_B" localSheetId="6">#REF!</definedName>
    <definedName name="buildings_B" localSheetId="5">#REF!</definedName>
    <definedName name="buildings_B" localSheetId="21">#REF!</definedName>
    <definedName name="buildings_B">#REF!</definedName>
    <definedName name="capital_gain_tax" localSheetId="6">#REF!</definedName>
    <definedName name="capital_gain_tax" localSheetId="5">#REF!</definedName>
    <definedName name="capital_gain_tax" localSheetId="21">#REF!</definedName>
    <definedName name="capital_gain_tax">#REF!</definedName>
    <definedName name="CapStructure" localSheetId="6">#REF!</definedName>
    <definedName name="CapStructure" localSheetId="5">#REF!</definedName>
    <definedName name="CapStructure" localSheetId="21">#REF!</definedName>
    <definedName name="CapStructure">#REF!</definedName>
    <definedName name="ccc" localSheetId="13" hidden="1">{#N/A,#N/A,FALSE,"toc";#N/A,#N/A,FALSE,"a1";#N/A,#N/A,FALSE,"a2";#N/A,#N/A,FALSE,"a3";#N/A,#N/A,FALSE,"a4";#N/A,#N/A,FALSE,"a5";#N/A,#N/A,FALSE,"a6";#N/A,#N/A,FALSE,"a7";#N/A,#N/A,FALSE,"a8";#N/A,#N/A,FALSE,"a9";#N/A,#N/A,FALSE,"a10";#N/A,#N/A,FALSE,"a11";#N/A,#N/A,FALSE,"a12";#N/A,#N/A,FALSE,"a13";#N/A,#N/A,FALSE,"a14";#N/A,#N/A,FALSE,"a15";#N/A,#N/A,FALSE,"a16";#N/A,#N/A,FALSE,"a17";#N/A,#N/A,FALSE,"a18";#N/A,#N/A,FALSE,"a19";#N/A,#N/A,FALSE,"a20";#N/A,#N/A,FALSE,"a21";#N/A,#N/A,FALSE,"a22";#N/A,#N/A,FALSE,"a23";#N/A,#N/A,FALSE,"a24";#N/A,#N/A,FALSE,"a25"}</definedName>
    <definedName name="ccc" localSheetId="27" hidden="1">{#N/A,#N/A,FALSE,"toc";#N/A,#N/A,FALSE,"a1";#N/A,#N/A,FALSE,"a2";#N/A,#N/A,FALSE,"a3";#N/A,#N/A,FALSE,"a4";#N/A,#N/A,FALSE,"a5";#N/A,#N/A,FALSE,"a6";#N/A,#N/A,FALSE,"a7";#N/A,#N/A,FALSE,"a8";#N/A,#N/A,FALSE,"a9";#N/A,#N/A,FALSE,"a10";#N/A,#N/A,FALSE,"a11";#N/A,#N/A,FALSE,"a12";#N/A,#N/A,FALSE,"a13";#N/A,#N/A,FALSE,"a14";#N/A,#N/A,FALSE,"a15";#N/A,#N/A,FALSE,"a16";#N/A,#N/A,FALSE,"a17";#N/A,#N/A,FALSE,"a18";#N/A,#N/A,FALSE,"a19";#N/A,#N/A,FALSE,"a20";#N/A,#N/A,FALSE,"a21";#N/A,#N/A,FALSE,"a22";#N/A,#N/A,FALSE,"a23";#N/A,#N/A,FALSE,"a24";#N/A,#N/A,FALSE,"a25"}</definedName>
    <definedName name="ccc" localSheetId="6" hidden="1">{#N/A,#N/A,FALSE,"toc";#N/A,#N/A,FALSE,"a1";#N/A,#N/A,FALSE,"a2";#N/A,#N/A,FALSE,"a3";#N/A,#N/A,FALSE,"a4";#N/A,#N/A,FALSE,"a5";#N/A,#N/A,FALSE,"a6";#N/A,#N/A,FALSE,"a7";#N/A,#N/A,FALSE,"a8";#N/A,#N/A,FALSE,"a9";#N/A,#N/A,FALSE,"a10";#N/A,#N/A,FALSE,"a11";#N/A,#N/A,FALSE,"a12";#N/A,#N/A,FALSE,"a13";#N/A,#N/A,FALSE,"a14";#N/A,#N/A,FALSE,"a15";#N/A,#N/A,FALSE,"a16";#N/A,#N/A,FALSE,"a17";#N/A,#N/A,FALSE,"a18";#N/A,#N/A,FALSE,"a19";#N/A,#N/A,FALSE,"a20";#N/A,#N/A,FALSE,"a21";#N/A,#N/A,FALSE,"a22";#N/A,#N/A,FALSE,"a23";#N/A,#N/A,FALSE,"a24";#N/A,#N/A,FALSE,"a25"}</definedName>
    <definedName name="ccc" localSheetId="5" hidden="1">{#N/A,#N/A,FALSE,"toc";#N/A,#N/A,FALSE,"a1";#N/A,#N/A,FALSE,"a2";#N/A,#N/A,FALSE,"a3";#N/A,#N/A,FALSE,"a4";#N/A,#N/A,FALSE,"a5";#N/A,#N/A,FALSE,"a6";#N/A,#N/A,FALSE,"a7";#N/A,#N/A,FALSE,"a8";#N/A,#N/A,FALSE,"a9";#N/A,#N/A,FALSE,"a10";#N/A,#N/A,FALSE,"a11";#N/A,#N/A,FALSE,"a12";#N/A,#N/A,FALSE,"a13";#N/A,#N/A,FALSE,"a14";#N/A,#N/A,FALSE,"a15";#N/A,#N/A,FALSE,"a16";#N/A,#N/A,FALSE,"a17";#N/A,#N/A,FALSE,"a18";#N/A,#N/A,FALSE,"a19";#N/A,#N/A,FALSE,"a20";#N/A,#N/A,FALSE,"a21";#N/A,#N/A,FALSE,"a22";#N/A,#N/A,FALSE,"a23";#N/A,#N/A,FALSE,"a24";#N/A,#N/A,FALSE,"a25"}</definedName>
    <definedName name="ccc" localSheetId="14" hidden="1">{#N/A,#N/A,FALSE,"toc";#N/A,#N/A,FALSE,"a1";#N/A,#N/A,FALSE,"a2";#N/A,#N/A,FALSE,"a3";#N/A,#N/A,FALSE,"a4";#N/A,#N/A,FALSE,"a5";#N/A,#N/A,FALSE,"a6";#N/A,#N/A,FALSE,"a7";#N/A,#N/A,FALSE,"a8";#N/A,#N/A,FALSE,"a9";#N/A,#N/A,FALSE,"a10";#N/A,#N/A,FALSE,"a11";#N/A,#N/A,FALSE,"a12";#N/A,#N/A,FALSE,"a13";#N/A,#N/A,FALSE,"a14";#N/A,#N/A,FALSE,"a15";#N/A,#N/A,FALSE,"a16";#N/A,#N/A,FALSE,"a17";#N/A,#N/A,FALSE,"a18";#N/A,#N/A,FALSE,"a19";#N/A,#N/A,FALSE,"a20";#N/A,#N/A,FALSE,"a21";#N/A,#N/A,FALSE,"a22";#N/A,#N/A,FALSE,"a23";#N/A,#N/A,FALSE,"a24";#N/A,#N/A,FALSE,"a25"}</definedName>
    <definedName name="ccc" localSheetId="7" hidden="1">{#N/A,#N/A,FALSE,"toc";#N/A,#N/A,FALSE,"a1";#N/A,#N/A,FALSE,"a2";#N/A,#N/A,FALSE,"a3";#N/A,#N/A,FALSE,"a4";#N/A,#N/A,FALSE,"a5";#N/A,#N/A,FALSE,"a6";#N/A,#N/A,FALSE,"a7";#N/A,#N/A,FALSE,"a8";#N/A,#N/A,FALSE,"a9";#N/A,#N/A,FALSE,"a10";#N/A,#N/A,FALSE,"a11";#N/A,#N/A,FALSE,"a12";#N/A,#N/A,FALSE,"a13";#N/A,#N/A,FALSE,"a14";#N/A,#N/A,FALSE,"a15";#N/A,#N/A,FALSE,"a16";#N/A,#N/A,FALSE,"a17";#N/A,#N/A,FALSE,"a18";#N/A,#N/A,FALSE,"a19";#N/A,#N/A,FALSE,"a20";#N/A,#N/A,FALSE,"a21";#N/A,#N/A,FALSE,"a22";#N/A,#N/A,FALSE,"a23";#N/A,#N/A,FALSE,"a24";#N/A,#N/A,FALSE,"a25"}</definedName>
    <definedName name="ccc" localSheetId="21" hidden="1">{#N/A,#N/A,FALSE,"toc";#N/A,#N/A,FALSE,"a1";#N/A,#N/A,FALSE,"a2";#N/A,#N/A,FALSE,"a3";#N/A,#N/A,FALSE,"a4";#N/A,#N/A,FALSE,"a5";#N/A,#N/A,FALSE,"a6";#N/A,#N/A,FALSE,"a7";#N/A,#N/A,FALSE,"a8";#N/A,#N/A,FALSE,"a9";#N/A,#N/A,FALSE,"a10";#N/A,#N/A,FALSE,"a11";#N/A,#N/A,FALSE,"a12";#N/A,#N/A,FALSE,"a13";#N/A,#N/A,FALSE,"a14";#N/A,#N/A,FALSE,"a15";#N/A,#N/A,FALSE,"a16";#N/A,#N/A,FALSE,"a17";#N/A,#N/A,FALSE,"a18";#N/A,#N/A,FALSE,"a19";#N/A,#N/A,FALSE,"a20";#N/A,#N/A,FALSE,"a21";#N/A,#N/A,FALSE,"a22";#N/A,#N/A,FALSE,"a23";#N/A,#N/A,FALSE,"a24";#N/A,#N/A,FALSE,"a25"}</definedName>
    <definedName name="ccc" localSheetId="20" hidden="1">{#N/A,#N/A,FALSE,"toc";#N/A,#N/A,FALSE,"a1";#N/A,#N/A,FALSE,"a2";#N/A,#N/A,FALSE,"a3";#N/A,#N/A,FALSE,"a4";#N/A,#N/A,FALSE,"a5";#N/A,#N/A,FALSE,"a6";#N/A,#N/A,FALSE,"a7";#N/A,#N/A,FALSE,"a8";#N/A,#N/A,FALSE,"a9";#N/A,#N/A,FALSE,"a10";#N/A,#N/A,FALSE,"a11";#N/A,#N/A,FALSE,"a12";#N/A,#N/A,FALSE,"a13";#N/A,#N/A,FALSE,"a14";#N/A,#N/A,FALSE,"a15";#N/A,#N/A,FALSE,"a16";#N/A,#N/A,FALSE,"a17";#N/A,#N/A,FALSE,"a18";#N/A,#N/A,FALSE,"a19";#N/A,#N/A,FALSE,"a20";#N/A,#N/A,FALSE,"a21";#N/A,#N/A,FALSE,"a22";#N/A,#N/A,FALSE,"a23";#N/A,#N/A,FALSE,"a24";#N/A,#N/A,FALSE,"a25"}</definedName>
    <definedName name="ccc" localSheetId="17" hidden="1">{#N/A,#N/A,FALSE,"toc";#N/A,#N/A,FALSE,"a1";#N/A,#N/A,FALSE,"a2";#N/A,#N/A,FALSE,"a3";#N/A,#N/A,FALSE,"a4";#N/A,#N/A,FALSE,"a5";#N/A,#N/A,FALSE,"a6";#N/A,#N/A,FALSE,"a7";#N/A,#N/A,FALSE,"a8";#N/A,#N/A,FALSE,"a9";#N/A,#N/A,FALSE,"a10";#N/A,#N/A,FALSE,"a11";#N/A,#N/A,FALSE,"a12";#N/A,#N/A,FALSE,"a13";#N/A,#N/A,FALSE,"a14";#N/A,#N/A,FALSE,"a15";#N/A,#N/A,FALSE,"a16";#N/A,#N/A,FALSE,"a17";#N/A,#N/A,FALSE,"a18";#N/A,#N/A,FALSE,"a19";#N/A,#N/A,FALSE,"a20";#N/A,#N/A,FALSE,"a21";#N/A,#N/A,FALSE,"a22";#N/A,#N/A,FALSE,"a23";#N/A,#N/A,FALSE,"a24";#N/A,#N/A,FALSE,"a25"}</definedName>
    <definedName name="ccc" localSheetId="18" hidden="1">{#N/A,#N/A,FALSE,"toc";#N/A,#N/A,FALSE,"a1";#N/A,#N/A,FALSE,"a2";#N/A,#N/A,FALSE,"a3";#N/A,#N/A,FALSE,"a4";#N/A,#N/A,FALSE,"a5";#N/A,#N/A,FALSE,"a6";#N/A,#N/A,FALSE,"a7";#N/A,#N/A,FALSE,"a8";#N/A,#N/A,FALSE,"a9";#N/A,#N/A,FALSE,"a10";#N/A,#N/A,FALSE,"a11";#N/A,#N/A,FALSE,"a12";#N/A,#N/A,FALSE,"a13";#N/A,#N/A,FALSE,"a14";#N/A,#N/A,FALSE,"a15";#N/A,#N/A,FALSE,"a16";#N/A,#N/A,FALSE,"a17";#N/A,#N/A,FALSE,"a18";#N/A,#N/A,FALSE,"a19";#N/A,#N/A,FALSE,"a20";#N/A,#N/A,FALSE,"a21";#N/A,#N/A,FALSE,"a22";#N/A,#N/A,FALSE,"a23";#N/A,#N/A,FALSE,"a24";#N/A,#N/A,FALSE,"a25"}</definedName>
    <definedName name="ccc" localSheetId="1" hidden="1">{#N/A,#N/A,FALSE,"toc";#N/A,#N/A,FALSE,"a1";#N/A,#N/A,FALSE,"a2";#N/A,#N/A,FALSE,"a3";#N/A,#N/A,FALSE,"a4";#N/A,#N/A,FALSE,"a5";#N/A,#N/A,FALSE,"a6";#N/A,#N/A,FALSE,"a7";#N/A,#N/A,FALSE,"a8";#N/A,#N/A,FALSE,"a9";#N/A,#N/A,FALSE,"a10";#N/A,#N/A,FALSE,"a11";#N/A,#N/A,FALSE,"a12";#N/A,#N/A,FALSE,"a13";#N/A,#N/A,FALSE,"a14";#N/A,#N/A,FALSE,"a15";#N/A,#N/A,FALSE,"a16";#N/A,#N/A,FALSE,"a17";#N/A,#N/A,FALSE,"a18";#N/A,#N/A,FALSE,"a19";#N/A,#N/A,FALSE,"a20";#N/A,#N/A,FALSE,"a21";#N/A,#N/A,FALSE,"a22";#N/A,#N/A,FALSE,"a23";#N/A,#N/A,FALSE,"a24";#N/A,#N/A,FALSE,"a25"}</definedName>
    <definedName name="ccc" localSheetId="19" hidden="1">{#N/A,#N/A,FALSE,"toc";#N/A,#N/A,FALSE,"a1";#N/A,#N/A,FALSE,"a2";#N/A,#N/A,FALSE,"a3";#N/A,#N/A,FALSE,"a4";#N/A,#N/A,FALSE,"a5";#N/A,#N/A,FALSE,"a6";#N/A,#N/A,FALSE,"a7";#N/A,#N/A,FALSE,"a8";#N/A,#N/A,FALSE,"a9";#N/A,#N/A,FALSE,"a10";#N/A,#N/A,FALSE,"a11";#N/A,#N/A,FALSE,"a12";#N/A,#N/A,FALSE,"a13";#N/A,#N/A,FALSE,"a14";#N/A,#N/A,FALSE,"a15";#N/A,#N/A,FALSE,"a16";#N/A,#N/A,FALSE,"a17";#N/A,#N/A,FALSE,"a18";#N/A,#N/A,FALSE,"a19";#N/A,#N/A,FALSE,"a20";#N/A,#N/A,FALSE,"a21";#N/A,#N/A,FALSE,"a22";#N/A,#N/A,FALSE,"a23";#N/A,#N/A,FALSE,"a24";#N/A,#N/A,FALSE,"a25"}</definedName>
    <definedName name="ccc" hidden="1">{#N/A,#N/A,FALSE,"toc";#N/A,#N/A,FALSE,"a1";#N/A,#N/A,FALSE,"a2";#N/A,#N/A,FALSE,"a3";#N/A,#N/A,FALSE,"a4";#N/A,#N/A,FALSE,"a5";#N/A,#N/A,FALSE,"a6";#N/A,#N/A,FALSE,"a7";#N/A,#N/A,FALSE,"a8";#N/A,#N/A,FALSE,"a9";#N/A,#N/A,FALSE,"a10";#N/A,#N/A,FALSE,"a11";#N/A,#N/A,FALSE,"a12";#N/A,#N/A,FALSE,"a13";#N/A,#N/A,FALSE,"a14";#N/A,#N/A,FALSE,"a15";#N/A,#N/A,FALSE,"a16";#N/A,#N/A,FALSE,"a17";#N/A,#N/A,FALSE,"a18";#N/A,#N/A,FALSE,"a19";#N/A,#N/A,FALSE,"a20";#N/A,#N/A,FALSE,"a21";#N/A,#N/A,FALSE,"a22";#N/A,#N/A,FALSE,"a23";#N/A,#N/A,FALSE,"a24";#N/A,#N/A,FALSE,"a25"}</definedName>
    <definedName name="Change" localSheetId="27">#REF!</definedName>
    <definedName name="Change" localSheetId="6">#REF!</definedName>
    <definedName name="Change" localSheetId="5">#REF!</definedName>
    <definedName name="Change">#REF!</definedName>
    <definedName name="ChangeHistory" localSheetId="27">#REF!</definedName>
    <definedName name="ChangeHistory" localSheetId="6">#REF!</definedName>
    <definedName name="ChangeHistory" localSheetId="5">#REF!</definedName>
    <definedName name="ChangeHistory" localSheetId="21">#REF!</definedName>
    <definedName name="ChangeHistory">#REF!</definedName>
    <definedName name="ChangeHistoryName" localSheetId="27">#REF!</definedName>
    <definedName name="ChangeHistoryName" localSheetId="6">#REF!</definedName>
    <definedName name="ChangeHistoryName" localSheetId="5">#REF!</definedName>
    <definedName name="ChangeHistoryName" localSheetId="21">#REF!</definedName>
    <definedName name="ChangeHistoryName">#REF!</definedName>
    <definedName name="checklist" localSheetId="6">#REF!</definedName>
    <definedName name="checklist" localSheetId="5">#REF!</definedName>
    <definedName name="checklist" localSheetId="21">#REF!</definedName>
    <definedName name="checklist">#REF!</definedName>
    <definedName name="checkone" localSheetId="6">#REF!</definedName>
    <definedName name="checkone" localSheetId="5">#REF!</definedName>
    <definedName name="checkone" localSheetId="21">#REF!</definedName>
    <definedName name="checkone">#REF!</definedName>
    <definedName name="CIQWBGuid" hidden="1">"2cd8126d-26c3-430c-b7fa-a069e3a1fc62"</definedName>
    <definedName name="CIRC" localSheetId="27">#REF!</definedName>
    <definedName name="CIRC" localSheetId="6">#REF!</definedName>
    <definedName name="CIRC" localSheetId="5">#REF!</definedName>
    <definedName name="CIRC">#REF!</definedName>
    <definedName name="circuit_breaker" localSheetId="27">#REF!</definedName>
    <definedName name="circuit_breaker" localSheetId="6">#REF!</definedName>
    <definedName name="circuit_breaker" localSheetId="5">#REF!</definedName>
    <definedName name="circuit_breaker" localSheetId="21">#REF!</definedName>
    <definedName name="circuit_breaker">#REF!</definedName>
    <definedName name="Client_Lead" localSheetId="27">#REF!</definedName>
    <definedName name="Client_Lead" localSheetId="6">#REF!</definedName>
    <definedName name="Client_Lead" localSheetId="5">#REF!</definedName>
    <definedName name="Client_Lead" localSheetId="21">#REF!</definedName>
    <definedName name="Client_Lead">#REF!</definedName>
    <definedName name="Client1_lead" localSheetId="6">#REF!</definedName>
    <definedName name="Client1_lead" localSheetId="5">#REF!</definedName>
    <definedName name="Client1_lead" localSheetId="21">#REF!</definedName>
    <definedName name="Client1_lead">#REF!</definedName>
    <definedName name="clientlist" localSheetId="6">#REF!</definedName>
    <definedName name="clientlist" localSheetId="5">#REF!</definedName>
    <definedName name="clientlist" localSheetId="21">#REF!</definedName>
    <definedName name="clientlist">#REF!</definedName>
    <definedName name="closing_date" localSheetId="6">#REF!</definedName>
    <definedName name="closing_date" localSheetId="5">#REF!</definedName>
    <definedName name="closing_date" localSheetId="21">#REF!</definedName>
    <definedName name="closing_date">#REF!</definedName>
    <definedName name="COGSBillable5500" localSheetId="6">#REF!</definedName>
    <definedName name="COGSBillable5500" localSheetId="5">#REF!</definedName>
    <definedName name="COGSBillable5500" localSheetId="21">#REF!</definedName>
    <definedName name="COGSBillable5500">#REF!</definedName>
    <definedName name="cogsloaded5600" localSheetId="6">#REF!</definedName>
    <definedName name="cogsloaded5600" localSheetId="5">#REF!</definedName>
    <definedName name="cogsloaded5600" localSheetId="21">#REF!</definedName>
    <definedName name="cogsloaded5600">#REF!</definedName>
    <definedName name="colocation6100" localSheetId="6">#REF!</definedName>
    <definedName name="colocation6100" localSheetId="5">#REF!</definedName>
    <definedName name="colocation6100" localSheetId="21">#REF!</definedName>
    <definedName name="colocation6100">#REF!</definedName>
    <definedName name="Company_name" localSheetId="6">#REF!</definedName>
    <definedName name="Company_name" localSheetId="5">#REF!</definedName>
    <definedName name="Company_name" localSheetId="21">#REF!</definedName>
    <definedName name="Company_name">#REF!</definedName>
    <definedName name="computers6134" localSheetId="6">#REF!</definedName>
    <definedName name="computers6134" localSheetId="5">#REF!</definedName>
    <definedName name="computers6134" localSheetId="21">#REF!</definedName>
    <definedName name="computers6134">#REF!</definedName>
    <definedName name="costratetable" localSheetId="6">#REF!</definedName>
    <definedName name="costratetable" localSheetId="5">#REF!</definedName>
    <definedName name="costratetable" localSheetId="21">#REF!</definedName>
    <definedName name="costratetable">#REF!</definedName>
    <definedName name="CreatedFor" localSheetId="6">#REF!</definedName>
    <definedName name="CreatedFor" localSheetId="5">#REF!</definedName>
    <definedName name="CreatedFor" localSheetId="21">#REF!</definedName>
    <definedName name="CreatedFor">#REF!</definedName>
    <definedName name="CreatedForTitle" localSheetId="6">#REF!</definedName>
    <definedName name="CreatedForTitle" localSheetId="5">#REF!</definedName>
    <definedName name="CreatedForTitle" localSheetId="21">#REF!</definedName>
    <definedName name="CreatedForTitle">#REF!</definedName>
    <definedName name="Data.Dump" localSheetId="27" hidden="1">OFFSET(#REF!,1,0)</definedName>
    <definedName name="Data.Dump" localSheetId="6" hidden="1">OFFSET(#REF!,1,0)</definedName>
    <definedName name="Data.Dump" localSheetId="5" hidden="1">OFFSET(#REF!,1,0)</definedName>
    <definedName name="Data.Dump" localSheetId="7" hidden="1">OFFSET(#REF!,1,0)</definedName>
    <definedName name="Data.Dump" localSheetId="21" hidden="1">OFFSET(#REF!,1,0)</definedName>
    <definedName name="Data.Dump" hidden="1">OFFSET(#REF!,1,0)</definedName>
    <definedName name="DATA_01" localSheetId="27" hidden="1">#REF!</definedName>
    <definedName name="DATA_01" localSheetId="6" hidden="1">#REF!</definedName>
    <definedName name="DATA_01" localSheetId="5" hidden="1">#REF!</definedName>
    <definedName name="DATA_01" localSheetId="7" hidden="1">#REF!</definedName>
    <definedName name="DATA_01" localSheetId="21" hidden="1">#REF!</definedName>
    <definedName name="DATA_01" hidden="1">#REF!</definedName>
    <definedName name="DATA_02" localSheetId="27" hidden="1">#REF!</definedName>
    <definedName name="DATA_02" localSheetId="6" hidden="1">#REF!</definedName>
    <definedName name="DATA_02" localSheetId="5" hidden="1">#REF!</definedName>
    <definedName name="DATA_02" localSheetId="7" hidden="1">#REF!</definedName>
    <definedName name="DATA_02" localSheetId="21" hidden="1">#REF!</definedName>
    <definedName name="DATA_02" hidden="1">#REF!</definedName>
    <definedName name="DATA_03" localSheetId="27" hidden="1">#REF!</definedName>
    <definedName name="DATA_03" localSheetId="6" hidden="1">#REF!</definedName>
    <definedName name="DATA_03" localSheetId="5" hidden="1">#REF!</definedName>
    <definedName name="DATA_03" localSheetId="7" hidden="1">#REF!</definedName>
    <definedName name="DATA_03" localSheetId="21" hidden="1">#REF!</definedName>
    <definedName name="DATA_03" hidden="1">#REF!</definedName>
    <definedName name="DATA_04" localSheetId="6" hidden="1">#REF!</definedName>
    <definedName name="DATA_04" localSheetId="5" hidden="1">#REF!</definedName>
    <definedName name="DATA_04" localSheetId="21" hidden="1">#REF!</definedName>
    <definedName name="DATA_04" hidden="1">#REF!</definedName>
    <definedName name="DATA_05" localSheetId="6" hidden="1">#REF!</definedName>
    <definedName name="DATA_05" localSheetId="5" hidden="1">#REF!</definedName>
    <definedName name="DATA_05" localSheetId="21" hidden="1">#REF!</definedName>
    <definedName name="DATA_05" hidden="1">#REF!</definedName>
    <definedName name="DATA_06" localSheetId="6" hidden="1">#REF!</definedName>
    <definedName name="DATA_06" localSheetId="5" hidden="1">#REF!</definedName>
    <definedName name="DATA_06" localSheetId="21" hidden="1">#REF!</definedName>
    <definedName name="DATA_06" hidden="1">#REF!</definedName>
    <definedName name="DATA_07" localSheetId="6" hidden="1">#REF!</definedName>
    <definedName name="DATA_07" localSheetId="5" hidden="1">#REF!</definedName>
    <definedName name="DATA_07" localSheetId="21" hidden="1">#REF!</definedName>
    <definedName name="DATA_07" hidden="1">#REF!</definedName>
    <definedName name="DATA_08" localSheetId="6" hidden="1">#REF!</definedName>
    <definedName name="DATA_08" localSheetId="5" hidden="1">#REF!</definedName>
    <definedName name="DATA_08" localSheetId="21" hidden="1">#REF!</definedName>
    <definedName name="DATA_08" hidden="1">#REF!</definedName>
    <definedName name="data1" localSheetId="6" hidden="1">#REF!</definedName>
    <definedName name="data1" localSheetId="5" hidden="1">#REF!</definedName>
    <definedName name="data1" localSheetId="21" hidden="1">#REF!</definedName>
    <definedName name="data1" hidden="1">#REF!</definedName>
    <definedName name="data2" localSheetId="6" hidden="1">#REF!</definedName>
    <definedName name="data2" localSheetId="5" hidden="1">#REF!</definedName>
    <definedName name="data2" localSheetId="21" hidden="1">#REF!</definedName>
    <definedName name="data2" hidden="1">#REF!</definedName>
    <definedName name="data3" localSheetId="6" hidden="1">#REF!</definedName>
    <definedName name="data3" localSheetId="5" hidden="1">#REF!</definedName>
    <definedName name="data3" localSheetId="21" hidden="1">#REF!</definedName>
    <definedName name="data3" hidden="1">#REF!</definedName>
    <definedName name="Database.File" localSheetId="6" hidden="1">#REF!</definedName>
    <definedName name="Database.File" localSheetId="5" hidden="1">#REF!</definedName>
    <definedName name="Database.File" localSheetId="21" hidden="1">#REF!</definedName>
    <definedName name="Database.File" hidden="1">#REF!</definedName>
    <definedName name="DENTALNAME" localSheetId="6">#REF!</definedName>
    <definedName name="DENTALNAME" localSheetId="5">#REF!</definedName>
    <definedName name="DENTALNAME" localSheetId="21">#REF!</definedName>
    <definedName name="DENTALNAME">#REF!</definedName>
    <definedName name="DigitalSales_LTI_Mix" localSheetId="6">#REF!</definedName>
    <definedName name="DigitalSales_LTI_Mix" localSheetId="5">#REF!</definedName>
    <definedName name="DigitalSales_LTI_Mix" localSheetId="21">#REF!</definedName>
    <definedName name="DigitalSales_LTI_Mix">#REF!</definedName>
    <definedName name="DigitalSales_table" localSheetId="6">#REF!</definedName>
    <definedName name="DigitalSales_table" localSheetId="5">#REF!</definedName>
    <definedName name="DigitalSales_table" localSheetId="21">#REF!</definedName>
    <definedName name="DigitalSales_table">#REF!</definedName>
    <definedName name="DigitalSales_table_LTI" localSheetId="6">#REF!</definedName>
    <definedName name="DigitalSales_table_LTI" localSheetId="5">#REF!</definedName>
    <definedName name="DigitalSales_table_LTI" localSheetId="21">#REF!</definedName>
    <definedName name="DigitalSales_table_LTI">#REF!</definedName>
    <definedName name="Discount" localSheetId="6" hidden="1">#REF!</definedName>
    <definedName name="Discount" localSheetId="5" hidden="1">#REF!</definedName>
    <definedName name="Discount" localSheetId="21" hidden="1">#REF!</definedName>
    <definedName name="Discount" hidden="1">#REF!</definedName>
    <definedName name="display_area_2" localSheetId="6" hidden="1">#REF!</definedName>
    <definedName name="display_area_2" localSheetId="5" hidden="1">#REF!</definedName>
    <definedName name="display_area_2" localSheetId="21" hidden="1">#REF!</definedName>
    <definedName name="display_area_2" hidden="1">#REF!</definedName>
    <definedName name="divisor" localSheetId="6">#REF!</definedName>
    <definedName name="divisor" localSheetId="5">#REF!</definedName>
    <definedName name="divisor" localSheetId="21">#REF!</definedName>
    <definedName name="divisor">#REF!</definedName>
    <definedName name="duessubscriptions6160" localSheetId="6">#REF!</definedName>
    <definedName name="duessubscriptions6160" localSheetId="5">#REF!</definedName>
    <definedName name="duessubscriptions6160" localSheetId="21">#REF!</definedName>
    <definedName name="duessubscriptions6160">#REF!</definedName>
    <definedName name="EBITDA_Table" localSheetId="6">#REF!</definedName>
    <definedName name="EBITDA_Table" localSheetId="5">#REF!</definedName>
    <definedName name="EBITDA_Table" localSheetId="21">#REF!</definedName>
    <definedName name="EBITDA_Table">#REF!</definedName>
    <definedName name="eefgrey" localSheetId="6" hidden="1">#REF!</definedName>
    <definedName name="eefgrey" localSheetId="5" hidden="1">#REF!</definedName>
    <definedName name="eefgrey" localSheetId="21" hidden="1">#REF!</definedName>
    <definedName name="eefgrey" hidden="1">#REF!</definedName>
    <definedName name="Error" localSheetId="6">#REF!</definedName>
    <definedName name="Error" localSheetId="5">#REF!</definedName>
    <definedName name="Error" localSheetId="21">#REF!</definedName>
    <definedName name="Error">#REF!</definedName>
    <definedName name="exit_year" localSheetId="6">#REF!</definedName>
    <definedName name="exit_year" localSheetId="5">#REF!</definedName>
    <definedName name="exit_year" localSheetId="21">#REF!</definedName>
    <definedName name="exit_year">#REF!</definedName>
    <definedName name="FCF_LTI_Mix" localSheetId="6">#REF!</definedName>
    <definedName name="FCF_LTI_Mix" localSheetId="5">#REF!</definedName>
    <definedName name="FCF_LTI_Mix" localSheetId="21">#REF!</definedName>
    <definedName name="FCF_LTI_Mix">#REF!</definedName>
    <definedName name="FCF_Table" localSheetId="6">#REF!</definedName>
    <definedName name="FCF_Table" localSheetId="5">#REF!</definedName>
    <definedName name="FCF_Table" localSheetId="21">#REF!</definedName>
    <definedName name="FCF_Table">#REF!</definedName>
    <definedName name="FCF_Table_LTI" localSheetId="6">#REF!</definedName>
    <definedName name="FCF_Table_LTI" localSheetId="5">#REF!</definedName>
    <definedName name="FCF_Table_LTI" localSheetId="21">#REF!</definedName>
    <definedName name="FCF_Table_LTI">#REF!</definedName>
    <definedName name="FCode" localSheetId="6" hidden="1">#REF!</definedName>
    <definedName name="FCode" localSheetId="5" hidden="1">#REF!</definedName>
    <definedName name="FCode" localSheetId="21" hidden="1">#REF!</definedName>
    <definedName name="FCode" hidden="1">#REF!</definedName>
    <definedName name="FcstToggle" localSheetId="6">#REF!</definedName>
    <definedName name="FcstToggle" localSheetId="5">#REF!</definedName>
    <definedName name="FcstToggle" localSheetId="21">#REF!</definedName>
    <definedName name="FcstToggle">#REF!</definedName>
    <definedName name="FEDUNEMPLOYCOUNT" localSheetId="6">#REF!</definedName>
    <definedName name="FEDUNEMPLOYCOUNT" localSheetId="5">#REF!</definedName>
    <definedName name="FEDUNEMPLOYCOUNT" localSheetId="21">#REF!</definedName>
    <definedName name="FEDUNEMPLOYCOUNT">#REF!</definedName>
    <definedName name="FICAMEDICARESS" localSheetId="6">#REF!</definedName>
    <definedName name="FICAMEDICARESS" localSheetId="5">#REF!</definedName>
    <definedName name="FICAMEDICARESS" localSheetId="21">#REF!</definedName>
    <definedName name="FICAMEDICARESS">#REF!</definedName>
    <definedName name="FICASSCOUNT" localSheetId="6">#REF!</definedName>
    <definedName name="FICASSCOUNT" localSheetId="5">#REF!</definedName>
    <definedName name="FICASSCOUNT" localSheetId="21">#REF!</definedName>
    <definedName name="FICASSCOUNT">#REF!</definedName>
    <definedName name="File.Type" localSheetId="6" hidden="1">#REF!</definedName>
    <definedName name="File.Type" localSheetId="5" hidden="1">#REF!</definedName>
    <definedName name="File.Type" localSheetId="21" hidden="1">#REF!</definedName>
    <definedName name="File.Type" hidden="1">#REF!</definedName>
    <definedName name="fILL" localSheetId="6" hidden="1">#REF!</definedName>
    <definedName name="fILL" localSheetId="5" hidden="1">#REF!</definedName>
    <definedName name="fILL" localSheetId="21" hidden="1">#REF!</definedName>
    <definedName name="fILL" hidden="1">#REF!</definedName>
    <definedName name="Filled" localSheetId="6">#REF!</definedName>
    <definedName name="Filled" localSheetId="5">#REF!</definedName>
    <definedName name="Filled" localSheetId="21">#REF!</definedName>
    <definedName name="Filled">#REF!</definedName>
    <definedName name="FOXCHASECANCERCENTER" localSheetId="27">OFFSET(#REF!,0,0,COUNTA(#REF!),17)</definedName>
    <definedName name="FOXCHASECANCERCENTER" localSheetId="6">OFFSET(#REF!,0,0,COUNTA(#REF!),17)</definedName>
    <definedName name="FOXCHASECANCERCENTER" localSheetId="5">OFFSET(#REF!,0,0,COUNTA(#REF!),17)</definedName>
    <definedName name="FOXCHASECANCERCENTER" localSheetId="21">OFFSET(#REF!,0,0,COUNTA(#REF!),17)</definedName>
    <definedName name="FOXCHASECANCERCENTER">OFFSET(#REF!,0,0,COUNTA(#REF!),17)</definedName>
    <definedName name="ftecount" localSheetId="27">#REF!</definedName>
    <definedName name="ftecount" localSheetId="6">#REF!</definedName>
    <definedName name="ftecount" localSheetId="5">#REF!</definedName>
    <definedName name="ftecount" localSheetId="21">#REF!</definedName>
    <definedName name="ftecount">#REF!</definedName>
    <definedName name="fv_adjustments" localSheetId="27">#REF!</definedName>
    <definedName name="fv_adjustments" localSheetId="6">#REF!</definedName>
    <definedName name="fv_adjustments" localSheetId="5">#REF!</definedName>
    <definedName name="fv_adjustments" localSheetId="21">#REF!</definedName>
    <definedName name="fv_adjustments">#REF!</definedName>
    <definedName name="FYE" localSheetId="27">#REF!</definedName>
    <definedName name="FYE" localSheetId="6">#REF!</definedName>
    <definedName name="FYE" localSheetId="5">#REF!</definedName>
    <definedName name="FYE" localSheetId="21">#REF!</definedName>
    <definedName name="FYE">#REF!</definedName>
    <definedName name="HEALTHCOUNT" localSheetId="6">#REF!</definedName>
    <definedName name="HEALTHCOUNT" localSheetId="5">#REF!</definedName>
    <definedName name="HEALTHCOUNT" localSheetId="21">#REF!</definedName>
    <definedName name="HEALTHCOUNT">#REF!</definedName>
    <definedName name="HFMACCT" localSheetId="6">#REF!</definedName>
    <definedName name="HFMACCT" localSheetId="5">#REF!</definedName>
    <definedName name="HFMACCT" localSheetId="21">#REF!</definedName>
    <definedName name="HFMACCT">#REF!</definedName>
    <definedName name="HiddenRows" localSheetId="6" hidden="1">#REF!</definedName>
    <definedName name="HiddenRows" localSheetId="5" hidden="1">#REF!</definedName>
    <definedName name="HiddenRows" localSheetId="21" hidden="1">#REF!</definedName>
    <definedName name="HiddenRows" hidden="1">#REF!</definedName>
    <definedName name="HTML_CodePage" hidden="1">1252</definedName>
    <definedName name="HTML_Control" localSheetId="13" hidden="1">{"'Leverage'!$B$2:$M$418"}</definedName>
    <definedName name="HTML_Control" localSheetId="27" hidden="1">{"'Leverage'!$B$2:$M$418"}</definedName>
    <definedName name="HTML_Control" localSheetId="6" hidden="1">{"'Leverage'!$B$2:$M$418"}</definedName>
    <definedName name="HTML_Control" localSheetId="5" hidden="1">{"'Leverage'!$B$2:$M$418"}</definedName>
    <definedName name="HTML_Control" localSheetId="14" hidden="1">{"'Leverage'!$B$2:$M$418"}</definedName>
    <definedName name="HTML_Control" localSheetId="7" hidden="1">{"'Leverage'!$B$2:$M$418"}</definedName>
    <definedName name="HTML_Control" localSheetId="21" hidden="1">{"'Leverage'!$B$2:$M$418"}</definedName>
    <definedName name="HTML_Control" localSheetId="20" hidden="1">{"'Leverage'!$B$2:$M$418"}</definedName>
    <definedName name="HTML_Control" localSheetId="17" hidden="1">{"'Leverage'!$B$2:$M$418"}</definedName>
    <definedName name="HTML_Control" localSheetId="18" hidden="1">{"'Leverage'!$B$2:$M$418"}</definedName>
    <definedName name="HTML_Control" localSheetId="1" hidden="1">{"'Leverage'!$B$2:$M$418"}</definedName>
    <definedName name="HTML_Control" localSheetId="19" hidden="1">{"'Leverage'!$B$2:$M$418"}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HTML1_1" hidden="1">"[TB9.XLS]St_tot_94_95!$A$1:$J$428"</definedName>
    <definedName name="HTML1_10" hidden="1">""</definedName>
    <definedName name="HTML1_11" hidden="1">1</definedName>
    <definedName name="HTML1_12" hidden="1">"F:\USERS\ECON\Census95\Int\T9ST.htm"</definedName>
    <definedName name="HTML1_2" hidden="1">1</definedName>
    <definedName name="HTML1_3" hidden="1">""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"2/17/98"</definedName>
    <definedName name="HTML1_9" hidden="1">"BPH"</definedName>
    <definedName name="HTML2_1" hidden="1">"[TB9.XLS]St_tot_94_95!$A$1:$J$427"</definedName>
    <definedName name="HTML2_10" hidden="1">""</definedName>
    <definedName name="HTML2_11" hidden="1">1</definedName>
    <definedName name="HTML2_12" hidden="1">"F:\USERS\ECON\Census95\Int\T9ST.htm"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"2/17/98"</definedName>
    <definedName name="HTML2_9" hidden="1">"BPH"</definedName>
    <definedName name="HTML3_1" hidden="1">"[TB9.XLS]St_tot_94_95!$A$1:$H$427"</definedName>
    <definedName name="HTML3_10" hidden="1">""</definedName>
    <definedName name="HTML3_11" hidden="1">1</definedName>
    <definedName name="HTML3_12" hidden="1">"F:\USERS\ECON\Census95\Int\T9st.htm"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"2/17/98"</definedName>
    <definedName name="HTML3_9" hidden="1">"BPH"</definedName>
    <definedName name="HTMLCount" hidden="1">3</definedName>
    <definedName name="IDN" localSheetId="27">#REF!</definedName>
    <definedName name="IDN" localSheetId="6">#REF!</definedName>
    <definedName name="IDN" localSheetId="5">#REF!</definedName>
    <definedName name="IDN">#REF!</definedName>
    <definedName name="ILUNEMPLOYCOUNT" localSheetId="27">#REF!</definedName>
    <definedName name="ILUNEMPLOYCOUNT" localSheetId="6">#REF!</definedName>
    <definedName name="ILUNEMPLOYCOUNT" localSheetId="5">#REF!</definedName>
    <definedName name="ILUNEMPLOYCOUNT" localSheetId="21">#REF!</definedName>
    <definedName name="ILUNEMPLOYCOUNT">#REF!</definedName>
    <definedName name="IncDiv01" localSheetId="27">#REF!</definedName>
    <definedName name="IncDiv01" localSheetId="6">#REF!</definedName>
    <definedName name="IncDiv01" localSheetId="5">#REF!</definedName>
    <definedName name="IncDiv01" localSheetId="21">#REF!</definedName>
    <definedName name="IncDiv01">#REF!</definedName>
    <definedName name="insurance6180" localSheetId="6">#REF!</definedName>
    <definedName name="insurance6180" localSheetId="5">#REF!</definedName>
    <definedName name="insurance6180" localSheetId="21">#REF!</definedName>
    <definedName name="insurance6180">#REF!</definedName>
    <definedName name="Integrated" localSheetId="6">#REF!</definedName>
    <definedName name="Integrated" localSheetId="5">#REF!</definedName>
    <definedName name="Integrated" localSheetId="21">#REF!</definedName>
    <definedName name="Integrated">#REF!</definedName>
    <definedName name="interestincome7010" localSheetId="6">#REF!</definedName>
    <definedName name="interestincome7010" localSheetId="5">#REF!</definedName>
    <definedName name="interestincome7010" localSheetId="21">#REF!</definedName>
    <definedName name="interestincome7010">#REF!</definedName>
    <definedName name="IntroPrintArea" localSheetId="13" hidden="1">#REF!</definedName>
    <definedName name="IntroPrintArea" localSheetId="6" hidden="1">#REF!</definedName>
    <definedName name="IntroPrintArea" localSheetId="5" hidden="1">#REF!</definedName>
    <definedName name="IntroPrintArea" localSheetId="14" hidden="1">#REF!</definedName>
    <definedName name="IntroPrintArea" localSheetId="21" hidden="1">#REF!</definedName>
    <definedName name="IntroPrintArea" hidden="1">#REF!</definedName>
    <definedName name="inventory" localSheetId="6">#REF!</definedName>
    <definedName name="inventory" localSheetId="5">#REF!</definedName>
    <definedName name="inventory" localSheetId="21">#REF!</definedName>
    <definedName name="inventory">#REF!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AVG_PRICE_TARGET" hidden="1">"c82"</definedName>
    <definedName name="IQ_CAPEX_BR" hidden="1">"c111"</definedName>
    <definedName name="IQ_CH" hidden="1">110000</definedName>
    <definedName name="IQ_CHANGE_AP_BR" hidden="1">"c135"</definedName>
    <definedName name="IQ_CHANGE_AR_BR" hidden="1">"c142"</definedName>
    <definedName name="IQ_CHANGE_OTHER_NET_OPER_ASSETS_BR" hidden="1">"c3595"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ONV_RATE" hidden="1">"c2192"</definedName>
    <definedName name="IQ_CQ" hidden="1">5000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PS" hidden="1">"IQ_EPS"</definedName>
    <definedName name="IQ_EXTRA_ACC_ITEMS_BR" hidden="1">"c412"</definedName>
    <definedName name="IQ_FH" hidden="1">100000</definedName>
    <definedName name="IQ_FQ" hidden="1">500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Y" hidden="1">1000</definedName>
    <definedName name="IQ_FY_DATE" hidden="1">"IQ_FY_DATE"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_DATE" hidden="1">"IQ_LTM_DATE"</definedName>
    <definedName name="IQ_LTMMONTH" hidden="1">120000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40218.8268634259</definedName>
    <definedName name="IQ_NAV_ACT_OR_EST" hidden="1">"c2225"</definedName>
    <definedName name="IQ_NET_DEBT_ISSUED_BR" hidden="1">"c753"</definedName>
    <definedName name="IQ_NET_INT_INC_BR" hidden="1">"c765"</definedName>
    <definedName name="IQ_NTM" hidden="1">6000</definedName>
    <definedName name="IQ_OG_TOTAL_OIL_PRODUCTON" hidden="1">"c2059"</definedName>
    <definedName name="IQ_OPER_INC_BR" hidden="1">"c850"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REF_ISSUED_BR" hidden="1">"c1047"</definedName>
    <definedName name="IQ_PREF_OTHER_BR" hidden="1">"c1055"</definedName>
    <definedName name="IQ_PREF_REP_BR" hidden="1">"c1062"</definedName>
    <definedName name="IQ_PRICEDATETIME" hidden="1">"IQ_PRICEDATETIME"</definedName>
    <definedName name="IQ_QTD" hidden="1">750000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PENSION_OBLIGATION" hidden="1">"c1292"</definedName>
    <definedName name="IQ_TOTAL_REV_BR" hidden="1">"c1303"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K401KCOUNT" localSheetId="27">#REF!</definedName>
    <definedName name="K401KCOUNT" localSheetId="6">#REF!</definedName>
    <definedName name="K401KCOUNT" localSheetId="5">#REF!</definedName>
    <definedName name="K401KCOUNT">#REF!</definedName>
    <definedName name="kec" localSheetId="13" hidden="1">{#N/A,#N/A,FALSE,"contents";#N/A,#N/A,FALSE,"general";#N/A,#N/A,FALSE,"auswertung";#N/A,#N/A,FALSE,"roic_free_cf";#N/A,#N/A,FALSE,"order_intake_own_europe";#N/A,#N/A,FALSE,"order_intake_europe";#N/A,#N/A,FALSE,"sales_own_europe";#N/A,#N/A,FALSE,"order_intake_oversea";#N/A,#N/A,FALSE,"sales_own_oversea";#N/A,#N/A,FALSE,"financial_status";#N/A,#N/A,FALSE,"Investments";#N/A,#N/A,FALSE,"objektives";#N/A,#N/A,FALSE,"cash_flow_budget";#N/A,#N/A,FALSE,"profit-statement"}</definedName>
    <definedName name="kec" localSheetId="27" hidden="1">{#N/A,#N/A,FALSE,"contents";#N/A,#N/A,FALSE,"general";#N/A,#N/A,FALSE,"auswertung";#N/A,#N/A,FALSE,"roic_free_cf";#N/A,#N/A,FALSE,"order_intake_own_europe";#N/A,#N/A,FALSE,"order_intake_europe";#N/A,#N/A,FALSE,"sales_own_europe";#N/A,#N/A,FALSE,"order_intake_oversea";#N/A,#N/A,FALSE,"sales_own_oversea";#N/A,#N/A,FALSE,"financial_status";#N/A,#N/A,FALSE,"Investments";#N/A,#N/A,FALSE,"objektives";#N/A,#N/A,FALSE,"cash_flow_budget";#N/A,#N/A,FALSE,"profit-statement"}</definedName>
    <definedName name="kec" localSheetId="6" hidden="1">{#N/A,#N/A,FALSE,"contents";#N/A,#N/A,FALSE,"general";#N/A,#N/A,FALSE,"auswertung";#N/A,#N/A,FALSE,"roic_free_cf";#N/A,#N/A,FALSE,"order_intake_own_europe";#N/A,#N/A,FALSE,"order_intake_europe";#N/A,#N/A,FALSE,"sales_own_europe";#N/A,#N/A,FALSE,"order_intake_oversea";#N/A,#N/A,FALSE,"sales_own_oversea";#N/A,#N/A,FALSE,"financial_status";#N/A,#N/A,FALSE,"Investments";#N/A,#N/A,FALSE,"objektives";#N/A,#N/A,FALSE,"cash_flow_budget";#N/A,#N/A,FALSE,"profit-statement"}</definedName>
    <definedName name="kec" localSheetId="5" hidden="1">{#N/A,#N/A,FALSE,"contents";#N/A,#N/A,FALSE,"general";#N/A,#N/A,FALSE,"auswertung";#N/A,#N/A,FALSE,"roic_free_cf";#N/A,#N/A,FALSE,"order_intake_own_europe";#N/A,#N/A,FALSE,"order_intake_europe";#N/A,#N/A,FALSE,"sales_own_europe";#N/A,#N/A,FALSE,"order_intake_oversea";#N/A,#N/A,FALSE,"sales_own_oversea";#N/A,#N/A,FALSE,"financial_status";#N/A,#N/A,FALSE,"Investments";#N/A,#N/A,FALSE,"objektives";#N/A,#N/A,FALSE,"cash_flow_budget";#N/A,#N/A,FALSE,"profit-statement"}</definedName>
    <definedName name="kec" localSheetId="14" hidden="1">{#N/A,#N/A,FALSE,"contents";#N/A,#N/A,FALSE,"general";#N/A,#N/A,FALSE,"auswertung";#N/A,#N/A,FALSE,"roic_free_cf";#N/A,#N/A,FALSE,"order_intake_own_europe";#N/A,#N/A,FALSE,"order_intake_europe";#N/A,#N/A,FALSE,"sales_own_europe";#N/A,#N/A,FALSE,"order_intake_oversea";#N/A,#N/A,FALSE,"sales_own_oversea";#N/A,#N/A,FALSE,"financial_status";#N/A,#N/A,FALSE,"Investments";#N/A,#N/A,FALSE,"objektives";#N/A,#N/A,FALSE,"cash_flow_budget";#N/A,#N/A,FALSE,"profit-statement"}</definedName>
    <definedName name="kec" localSheetId="7" hidden="1">{#N/A,#N/A,FALSE,"contents";#N/A,#N/A,FALSE,"general";#N/A,#N/A,FALSE,"auswertung";#N/A,#N/A,FALSE,"roic_free_cf";#N/A,#N/A,FALSE,"order_intake_own_europe";#N/A,#N/A,FALSE,"order_intake_europe";#N/A,#N/A,FALSE,"sales_own_europe";#N/A,#N/A,FALSE,"order_intake_oversea";#N/A,#N/A,FALSE,"sales_own_oversea";#N/A,#N/A,FALSE,"financial_status";#N/A,#N/A,FALSE,"Investments";#N/A,#N/A,FALSE,"objektives";#N/A,#N/A,FALSE,"cash_flow_budget";#N/A,#N/A,FALSE,"profit-statement"}</definedName>
    <definedName name="kec" localSheetId="21" hidden="1">{#N/A,#N/A,FALSE,"contents";#N/A,#N/A,FALSE,"general";#N/A,#N/A,FALSE,"auswertung";#N/A,#N/A,FALSE,"roic_free_cf";#N/A,#N/A,FALSE,"order_intake_own_europe";#N/A,#N/A,FALSE,"order_intake_europe";#N/A,#N/A,FALSE,"sales_own_europe";#N/A,#N/A,FALSE,"order_intake_oversea";#N/A,#N/A,FALSE,"sales_own_oversea";#N/A,#N/A,FALSE,"financial_status";#N/A,#N/A,FALSE,"Investments";#N/A,#N/A,FALSE,"objektives";#N/A,#N/A,FALSE,"cash_flow_budget";#N/A,#N/A,FALSE,"profit-statement"}</definedName>
    <definedName name="kec" localSheetId="20" hidden="1">{#N/A,#N/A,FALSE,"contents";#N/A,#N/A,FALSE,"general";#N/A,#N/A,FALSE,"auswertung";#N/A,#N/A,FALSE,"roic_free_cf";#N/A,#N/A,FALSE,"order_intake_own_europe";#N/A,#N/A,FALSE,"order_intake_europe";#N/A,#N/A,FALSE,"sales_own_europe";#N/A,#N/A,FALSE,"order_intake_oversea";#N/A,#N/A,FALSE,"sales_own_oversea";#N/A,#N/A,FALSE,"financial_status";#N/A,#N/A,FALSE,"Investments";#N/A,#N/A,FALSE,"objektives";#N/A,#N/A,FALSE,"cash_flow_budget";#N/A,#N/A,FALSE,"profit-statement"}</definedName>
    <definedName name="kec" localSheetId="17" hidden="1">{#N/A,#N/A,FALSE,"contents";#N/A,#N/A,FALSE,"general";#N/A,#N/A,FALSE,"auswertung";#N/A,#N/A,FALSE,"roic_free_cf";#N/A,#N/A,FALSE,"order_intake_own_europe";#N/A,#N/A,FALSE,"order_intake_europe";#N/A,#N/A,FALSE,"sales_own_europe";#N/A,#N/A,FALSE,"order_intake_oversea";#N/A,#N/A,FALSE,"sales_own_oversea";#N/A,#N/A,FALSE,"financial_status";#N/A,#N/A,FALSE,"Investments";#N/A,#N/A,FALSE,"objektives";#N/A,#N/A,FALSE,"cash_flow_budget";#N/A,#N/A,FALSE,"profit-statement"}</definedName>
    <definedName name="kec" localSheetId="18" hidden="1">{#N/A,#N/A,FALSE,"contents";#N/A,#N/A,FALSE,"general";#N/A,#N/A,FALSE,"auswertung";#N/A,#N/A,FALSE,"roic_free_cf";#N/A,#N/A,FALSE,"order_intake_own_europe";#N/A,#N/A,FALSE,"order_intake_europe";#N/A,#N/A,FALSE,"sales_own_europe";#N/A,#N/A,FALSE,"order_intake_oversea";#N/A,#N/A,FALSE,"sales_own_oversea";#N/A,#N/A,FALSE,"financial_status";#N/A,#N/A,FALSE,"Investments";#N/A,#N/A,FALSE,"objektives";#N/A,#N/A,FALSE,"cash_flow_budget";#N/A,#N/A,FALSE,"profit-statement"}</definedName>
    <definedName name="kec" localSheetId="1" hidden="1">{#N/A,#N/A,FALSE,"contents";#N/A,#N/A,FALSE,"general";#N/A,#N/A,FALSE,"auswertung";#N/A,#N/A,FALSE,"roic_free_cf";#N/A,#N/A,FALSE,"order_intake_own_europe";#N/A,#N/A,FALSE,"order_intake_europe";#N/A,#N/A,FALSE,"sales_own_europe";#N/A,#N/A,FALSE,"order_intake_oversea";#N/A,#N/A,FALSE,"sales_own_oversea";#N/A,#N/A,FALSE,"financial_status";#N/A,#N/A,FALSE,"Investments";#N/A,#N/A,FALSE,"objektives";#N/A,#N/A,FALSE,"cash_flow_budget";#N/A,#N/A,FALSE,"profit-statement"}</definedName>
    <definedName name="kec" localSheetId="19" hidden="1">{#N/A,#N/A,FALSE,"contents";#N/A,#N/A,FALSE,"general";#N/A,#N/A,FALSE,"auswertung";#N/A,#N/A,FALSE,"roic_free_cf";#N/A,#N/A,FALSE,"order_intake_own_europe";#N/A,#N/A,FALSE,"order_intake_europe";#N/A,#N/A,FALSE,"sales_own_europe";#N/A,#N/A,FALSE,"order_intake_oversea";#N/A,#N/A,FALSE,"sales_own_oversea";#N/A,#N/A,FALSE,"financial_status";#N/A,#N/A,FALSE,"Investments";#N/A,#N/A,FALSE,"objektives";#N/A,#N/A,FALSE,"cash_flow_budget";#N/A,#N/A,FALSE,"profit-statement"}</definedName>
    <definedName name="kec" hidden="1">{#N/A,#N/A,FALSE,"contents";#N/A,#N/A,FALSE,"general";#N/A,#N/A,FALSE,"auswertung";#N/A,#N/A,FALSE,"roic_free_cf";#N/A,#N/A,FALSE,"order_intake_own_europe";#N/A,#N/A,FALSE,"order_intake_europe";#N/A,#N/A,FALSE,"sales_own_europe";#N/A,#N/A,FALSE,"order_intake_oversea";#N/A,#N/A,FALSE,"sales_own_oversea";#N/A,#N/A,FALSE,"financial_status";#N/A,#N/A,FALSE,"Investments";#N/A,#N/A,FALSE,"objektives";#N/A,#N/A,FALSE,"cash_flow_budget";#N/A,#N/A,FALSE,"profit-statement"}</definedName>
    <definedName name="land_A" localSheetId="27">#REF!</definedName>
    <definedName name="land_A" localSheetId="6">#REF!</definedName>
    <definedName name="land_A" localSheetId="5">#REF!</definedName>
    <definedName name="land_A">#REF!</definedName>
    <definedName name="land_B" localSheetId="27">#REF!</definedName>
    <definedName name="land_B" localSheetId="6">#REF!</definedName>
    <definedName name="land_B" localSheetId="5">#REF!</definedName>
    <definedName name="land_B" localSheetId="21">#REF!</definedName>
    <definedName name="land_B">#REF!</definedName>
    <definedName name="land_ppa" localSheetId="27">#REF!</definedName>
    <definedName name="land_ppa" localSheetId="6">#REF!</definedName>
    <definedName name="land_ppa" localSheetId="5">#REF!</definedName>
    <definedName name="land_ppa" localSheetId="21">#REF!</definedName>
    <definedName name="land_ppa">#REF!</definedName>
    <definedName name="Last_FYE" localSheetId="6">#REF!</definedName>
    <definedName name="Last_FYE" localSheetId="5">#REF!</definedName>
    <definedName name="Last_FYE" localSheetId="21">#REF!</definedName>
    <definedName name="Last_FYE">#REF!</definedName>
    <definedName name="last_update" localSheetId="6">#REF!</definedName>
    <definedName name="last_update" localSheetId="5">#REF!</definedName>
    <definedName name="last_update" localSheetId="21">#REF!</definedName>
    <definedName name="last_update">#REF!</definedName>
    <definedName name="libre" localSheetId="27">#REF!,#REF!</definedName>
    <definedName name="libre" localSheetId="6">#REF!,#REF!</definedName>
    <definedName name="libre" localSheetId="5">#REF!,#REF!</definedName>
    <definedName name="libre" localSheetId="7">#REF!,#REF!</definedName>
    <definedName name="libre" localSheetId="21">#REF!,#REF!</definedName>
    <definedName name="libre">#REF!,#REF!</definedName>
    <definedName name="licensesandpermits6230" localSheetId="27">#REF!</definedName>
    <definedName name="licensesandpermits6230" localSheetId="6">#REF!</definedName>
    <definedName name="licensesandpermits6230" localSheetId="5">#REF!</definedName>
    <definedName name="licensesandpermits6230" localSheetId="7">#REF!</definedName>
    <definedName name="licensesandpermits6230" localSheetId="21">#REF!</definedName>
    <definedName name="licensesandpermits6230">#REF!</definedName>
    <definedName name="lignes_en_fin">1</definedName>
    <definedName name="lignes_en_tete">7</definedName>
    <definedName name="lignes_utiles">18</definedName>
    <definedName name="liste_cloture" localSheetId="27">#REF!,#REF!,#REF!,#REF!,#REF!,#REF!,#REF!,#REF!,#REF!,#REF!,#REF!,#REF!,#REF!,#REF!,#REF!,#REF!,#REF!,#REF!,#REF!,#REF!,#REF!,#REF!,#REF!,#REF!,#REF!,#REF!,#REF!,#REF!</definedName>
    <definedName name="liste_cloture" localSheetId="6">#REF!,#REF!,#REF!,#REF!,#REF!,#REF!,#REF!,#REF!,#REF!,#REF!,#REF!,#REF!,#REF!,#REF!,#REF!,#REF!,#REF!,#REF!,#REF!,#REF!,#REF!,#REF!,#REF!,#REF!,#REF!,#REF!,#REF!,#REF!</definedName>
    <definedName name="liste_cloture" localSheetId="5">#REF!,#REF!,#REF!,#REF!,#REF!,#REF!,#REF!,#REF!,#REF!,#REF!,#REF!,#REF!,#REF!,#REF!,#REF!,#REF!,#REF!,#REF!,#REF!,#REF!,#REF!,#REF!,#REF!,#REF!,#REF!,#REF!,#REF!,#REF!</definedName>
    <definedName name="liste_cloture" localSheetId="7">#REF!,#REF!,#REF!,#REF!,#REF!,#REF!,#REF!,#REF!,#REF!,#REF!,#REF!,#REF!,#REF!,#REF!,#REF!,#REF!,#REF!,#REF!,#REF!,#REF!,#REF!,#REF!,#REF!,#REF!,#REF!,#REF!,#REF!,#REF!</definedName>
    <definedName name="liste_cloture" localSheetId="21">#REF!,#REF!,#REF!,#REF!,#REF!,#REF!,#REF!,#REF!,#REF!,#REF!,#REF!,#REF!,#REF!,#REF!,#REF!,#REF!,#REF!,#REF!,#REF!,#REF!,#REF!,#REF!,#REF!,#REF!,#REF!,#REF!,#REF!,#REF!</definedName>
    <definedName name="liste_cloture">#REF!,#REF!,#REF!,#REF!,#REF!,#REF!,#REF!,#REF!,#REF!,#REF!,#REF!,#REF!,#REF!,#REF!,#REF!,#REF!,#REF!,#REF!,#REF!,#REF!,#REF!,#REF!,#REF!,#REF!,#REF!,#REF!,#REF!,#REF!</definedName>
    <definedName name="liste_feuilles" localSheetId="27">#REF!,#REF!,#REF!,#REF!,#REF!,#REF!,#REF!,#REF!,#REF!,#REF!,#REF!,#REF!,#REF!,#REF!,#REF!,#REF!,#REF!,#REF!,#REF!,#REF!,#REF!,#REF!,#REF!,#REF!,#REF!,#REF!,#REF!,#REF!</definedName>
    <definedName name="liste_feuilles" localSheetId="6">#REF!,#REF!,#REF!,#REF!,#REF!,#REF!,#REF!,#REF!,#REF!,#REF!,#REF!,#REF!,#REF!,#REF!,#REF!,#REF!,#REF!,#REF!,#REF!,#REF!,#REF!,#REF!,#REF!,#REF!,#REF!,#REF!,#REF!,#REF!</definedName>
    <definedName name="liste_feuilles" localSheetId="5">#REF!,#REF!,#REF!,#REF!,#REF!,#REF!,#REF!,#REF!,#REF!,#REF!,#REF!,#REF!,#REF!,#REF!,#REF!,#REF!,#REF!,#REF!,#REF!,#REF!,#REF!,#REF!,#REF!,#REF!,#REF!,#REF!,#REF!,#REF!</definedName>
    <definedName name="liste_feuilles" localSheetId="7">#REF!,#REF!,#REF!,#REF!,#REF!,#REF!,#REF!,#REF!,#REF!,#REF!,#REF!,#REF!,#REF!,#REF!,#REF!,#REF!,#REF!,#REF!,#REF!,#REF!,#REF!,#REF!,#REF!,#REF!,#REF!,#REF!,#REF!,#REF!</definedName>
    <definedName name="liste_feuilles" localSheetId="21">#REF!,#REF!,#REF!,#REF!,#REF!,#REF!,#REF!,#REF!,#REF!,#REF!,#REF!,#REF!,#REF!,#REF!,#REF!,#REF!,#REF!,#REF!,#REF!,#REF!,#REF!,#REF!,#REF!,#REF!,#REF!,#REF!,#REF!,#REF!</definedName>
    <definedName name="liste_feuilles">#REF!,#REF!,#REF!,#REF!,#REF!,#REF!,#REF!,#REF!,#REF!,#REF!,#REF!,#REF!,#REF!,#REF!,#REF!,#REF!,#REF!,#REF!,#REF!,#REF!,#REF!,#REF!,#REF!,#REF!,#REF!,#REF!,#REF!,#REF!</definedName>
    <definedName name="liste_impressions" localSheetId="27">#REF!</definedName>
    <definedName name="liste_impressions" localSheetId="6">#REF!</definedName>
    <definedName name="liste_impressions" localSheetId="5">#REF!</definedName>
    <definedName name="liste_impressions" localSheetId="21">#REF!</definedName>
    <definedName name="liste_impressions">#REF!</definedName>
    <definedName name="liste_principale" localSheetId="27">#REF!,#REF!</definedName>
    <definedName name="liste_principale" localSheetId="6">#REF!,#REF!</definedName>
    <definedName name="liste_principale" localSheetId="5">#REF!,#REF!</definedName>
    <definedName name="liste_principale" localSheetId="7">#REF!,#REF!</definedName>
    <definedName name="liste_principale" localSheetId="21">#REF!,#REF!</definedName>
    <definedName name="liste_principale">#REF!,#REF!</definedName>
    <definedName name="loadedcostallocation6600" localSheetId="27">#REF!</definedName>
    <definedName name="loadedcostallocation6600" localSheetId="6">#REF!</definedName>
    <definedName name="loadedcostallocation6600" localSheetId="5">#REF!</definedName>
    <definedName name="loadedcostallocation6600" localSheetId="21">#REF!</definedName>
    <definedName name="loadedcostallocation6600">#REF!</definedName>
    <definedName name="LOCAL_MYSQL_DATE_FORMAT" localSheetId="2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TM_Date" localSheetId="27">#REF!</definedName>
    <definedName name="LTM_Date" localSheetId="6">#REF!</definedName>
    <definedName name="LTM_Date" localSheetId="5">#REF!</definedName>
    <definedName name="LTM_Date" localSheetId="7">#REF!</definedName>
    <definedName name="LTM_Date" localSheetId="21">#REF!</definedName>
    <definedName name="LTM_Date">#REF!</definedName>
    <definedName name="LTV" localSheetId="27">#REF!</definedName>
    <definedName name="LTV" localSheetId="6">#REF!</definedName>
    <definedName name="LTV" localSheetId="5">#REF!</definedName>
    <definedName name="LTV" localSheetId="7">#REF!</definedName>
    <definedName name="LTV" localSheetId="21">#REF!</definedName>
    <definedName name="LTV">#REF!</definedName>
    <definedName name="m_raz" localSheetId="27">#REF!,#REF!,#REF!</definedName>
    <definedName name="m_raz" localSheetId="6">#REF!,#REF!,#REF!</definedName>
    <definedName name="m_raz" localSheetId="5">#REF!,#REF!,#REF!</definedName>
    <definedName name="m_raz" localSheetId="7">#REF!,#REF!,#REF!</definedName>
    <definedName name="m_raz" localSheetId="21">#REF!,#REF!,#REF!</definedName>
    <definedName name="m_raz">#REF!,#REF!,#REF!</definedName>
    <definedName name="Macro1">#N/A</definedName>
    <definedName name="Macro2">#N/A</definedName>
    <definedName name="marketing6234" localSheetId="27">#REF!</definedName>
    <definedName name="marketing6234" localSheetId="6">#REF!</definedName>
    <definedName name="marketing6234" localSheetId="5">#REF!</definedName>
    <definedName name="marketing6234" localSheetId="7">#REF!</definedName>
    <definedName name="marketing6234" localSheetId="21">#REF!</definedName>
    <definedName name="marketing6234">#REF!</definedName>
    <definedName name="miscellaneous6240" localSheetId="27">#REF!</definedName>
    <definedName name="miscellaneous6240" localSheetId="6">#REF!</definedName>
    <definedName name="miscellaneous6240" localSheetId="5">#REF!</definedName>
    <definedName name="miscellaneous6240" localSheetId="21">#REF!</definedName>
    <definedName name="miscellaneous6240">#REF!</definedName>
    <definedName name="mois" localSheetId="27">#REF!</definedName>
    <definedName name="mois" localSheetId="6">#REF!</definedName>
    <definedName name="mois" localSheetId="5">#REF!</definedName>
    <definedName name="mois" localSheetId="21">#REF!</definedName>
    <definedName name="mois">#REF!</definedName>
    <definedName name="monnaie" localSheetId="6">#REF!</definedName>
    <definedName name="monnaie" localSheetId="5">#REF!</definedName>
    <definedName name="monnaie" localSheetId="21">#REF!</definedName>
    <definedName name="monnaie">#REF!</definedName>
    <definedName name="month" localSheetId="6">#REF!</definedName>
    <definedName name="month" localSheetId="5">#REF!</definedName>
    <definedName name="month" localSheetId="21">#REF!</definedName>
    <definedName name="month">#REF!</definedName>
    <definedName name="monthdays" localSheetId="6">#REF!</definedName>
    <definedName name="monthdays" localSheetId="5">#REF!</definedName>
    <definedName name="monthdays" localSheetId="21">#REF!</definedName>
    <definedName name="monthdays">#REF!</definedName>
    <definedName name="Next_FYE" localSheetId="6">#REF!</definedName>
    <definedName name="Next_FYE" localSheetId="5">#REF!</definedName>
    <definedName name="Next_FYE" localSheetId="21">#REF!</definedName>
    <definedName name="Next_FYE">#REF!</definedName>
    <definedName name="Node" localSheetId="6">#REF!</definedName>
    <definedName name="Node" localSheetId="5">#REF!</definedName>
    <definedName name="Node" localSheetId="21">#REF!</definedName>
    <definedName name="Node">#REF!</definedName>
    <definedName name="nodelookup" localSheetId="6">#REF!</definedName>
    <definedName name="nodelookup" localSheetId="5">#REF!</definedName>
    <definedName name="nodelookup" localSheetId="21">#REF!</definedName>
    <definedName name="nodelookup">#REF!</definedName>
    <definedName name="NvsAnswerCol">"'[KTGRP2004-07-31.xls]A15e'!$A$13:$A$65536"</definedName>
    <definedName name="NvsASD">"V2003-09-30"</definedName>
    <definedName name="NvsAutoDrillOk">"VN"</definedName>
    <definedName name="NvsElapsedTime">0.000062962957599666</definedName>
    <definedName name="NvsEndTime">37903.4330671296</definedName>
    <definedName name="NvsInstLang">"VENG"</definedName>
    <definedName name="NvsInstSpec">"%,FBUSINESS_UNIT,V040,FCURRENCY_CD,VUSD"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"V2003-01-01"</definedName>
    <definedName name="NvsPanelSetid">"VSHARE"</definedName>
    <definedName name="NvsParentRef">"'[ARCBS2004-08-31.xls]Balance Sheet'!$H$155"</definedName>
    <definedName name="NvsReqBU">"V084"</definedName>
    <definedName name="NvsReqBUOnly">"VN"</definedName>
    <definedName name="NvsTransLed">"VN"</definedName>
    <definedName name="NvsTreeASD">"V2003-09-30"</definedName>
    <definedName name="NvsValTbl.ACCOUNT">"GL_ACCOUNT_TBL"</definedName>
    <definedName name="NvsValTbl.BUSINESS_UNIT">"BUS_UNIT_TBL_GL"</definedName>
    <definedName name="NvsValTbl.CURRENCY_CD">"CURRENCY_CD_TBL"</definedName>
    <definedName name="NvsValTbl.SCENARIO">"BD_SCENARIO_TBL"</definedName>
    <definedName name="officesupplies6550" localSheetId="27">#REF!</definedName>
    <definedName name="officesupplies6550" localSheetId="6">#REF!</definedName>
    <definedName name="officesupplies6550" localSheetId="5">#REF!</definedName>
    <definedName name="officesupplies6550">#REF!</definedName>
    <definedName name="operating_case" localSheetId="27">#REF!</definedName>
    <definedName name="operating_case" localSheetId="6">#REF!</definedName>
    <definedName name="operating_case" localSheetId="5">#REF!</definedName>
    <definedName name="operating_case" localSheetId="21">#REF!</definedName>
    <definedName name="operating_case">#REF!</definedName>
    <definedName name="oprid" localSheetId="27">#REF!</definedName>
    <definedName name="oprid" localSheetId="6">#REF!</definedName>
    <definedName name="oprid" localSheetId="5">#REF!</definedName>
    <definedName name="oprid" localSheetId="21">#REF!</definedName>
    <definedName name="oprid">#REF!</definedName>
    <definedName name="oprid2" localSheetId="6">#REF!</definedName>
    <definedName name="oprid2" localSheetId="5">#REF!</definedName>
    <definedName name="oprid2" localSheetId="21">#REF!</definedName>
    <definedName name="oprid2">#REF!</definedName>
    <definedName name="OrderTable" localSheetId="13" hidden="1">#REF!</definedName>
    <definedName name="OrderTable" localSheetId="6" hidden="1">#REF!</definedName>
    <definedName name="OrderTable" localSheetId="5" hidden="1">#REF!</definedName>
    <definedName name="OrderTable" localSheetId="14" hidden="1">#REF!</definedName>
    <definedName name="OrderTable" localSheetId="21" hidden="1">#REF!</definedName>
    <definedName name="OrderTable" hidden="1">#REF!</definedName>
    <definedName name="orientation">"paysage"</definedName>
    <definedName name="otherincome7030" localSheetId="27">#REF!</definedName>
    <definedName name="otherincome7030" localSheetId="6">#REF!</definedName>
    <definedName name="otherincome7030" localSheetId="5">#REF!</definedName>
    <definedName name="otherincome7030">#REF!</definedName>
    <definedName name="outsideservices6555" localSheetId="27">#REF!</definedName>
    <definedName name="outsideservices6555" localSheetId="6">#REF!</definedName>
    <definedName name="outsideservices6555" localSheetId="5">#REF!</definedName>
    <definedName name="outsideservices6555" localSheetId="21">#REF!</definedName>
    <definedName name="outsideservices6555">#REF!</definedName>
    <definedName name="Overhead" localSheetId="27">#REF!</definedName>
    <definedName name="Overhead" localSheetId="6">#REF!</definedName>
    <definedName name="Overhead" localSheetId="5">#REF!</definedName>
    <definedName name="Overhead" localSheetId="21">#REF!</definedName>
    <definedName name="Overhead">#REF!</definedName>
    <definedName name="Ownership" localSheetId="27" hidden="1">OFFSET(#REF!,1,0)</definedName>
    <definedName name="Ownership" localSheetId="6" hidden="1">OFFSET(#REF!,1,0)</definedName>
    <definedName name="Ownership" localSheetId="5" hidden="1">OFFSET(#REF!,1,0)</definedName>
    <definedName name="Ownership" localSheetId="7" hidden="1">OFFSET(#REF!,1,0)</definedName>
    <definedName name="Ownership" localSheetId="21" hidden="1">OFFSET(#REF!,1,0)</definedName>
    <definedName name="Ownership" hidden="1">OFFSET(#REF!,1,0)</definedName>
    <definedName name="P.LIST" localSheetId="27" hidden="1">#REF!</definedName>
    <definedName name="P.LIST" localSheetId="6" hidden="1">#REF!</definedName>
    <definedName name="P.LIST" localSheetId="5" hidden="1">#REF!</definedName>
    <definedName name="P.LIST" localSheetId="7" hidden="1">#REF!</definedName>
    <definedName name="P.LIST" localSheetId="21" hidden="1">#REF!</definedName>
    <definedName name="P.LIST" hidden="1">#REF!</definedName>
    <definedName name="passif" localSheetId="27">#REF!</definedName>
    <definedName name="passif" localSheetId="6">#REF!</definedName>
    <definedName name="passif" localSheetId="5">#REF!</definedName>
    <definedName name="passif" localSheetId="7">#REF!</definedName>
    <definedName name="passif" localSheetId="21">#REF!</definedName>
    <definedName name="passif">#REF!</definedName>
    <definedName name="PED_LACTUALS" localSheetId="27">#REF!</definedName>
    <definedName name="PED_LACTUALS" localSheetId="6">#REF!</definedName>
    <definedName name="PED_LACTUALS" localSheetId="5">#REF!</definedName>
    <definedName name="PED_LACTUALS" localSheetId="7">#REF!</definedName>
    <definedName name="PED_LACTUALS" localSheetId="21">#REF!</definedName>
    <definedName name="PED_LACTUALS">#REF!</definedName>
    <definedName name="period" localSheetId="6">#REF!</definedName>
    <definedName name="period" localSheetId="5">#REF!</definedName>
    <definedName name="period" localSheetId="21">#REF!</definedName>
    <definedName name="period">#REF!</definedName>
    <definedName name="PERPERSONCOUNT" localSheetId="6">#REF!</definedName>
    <definedName name="PERPERSONCOUNT" localSheetId="5">#REF!</definedName>
    <definedName name="PERPERSONCOUNT" localSheetId="21">#REF!</definedName>
    <definedName name="PERPERSONCOUNT">#REF!</definedName>
    <definedName name="PHX" localSheetId="6">#REF!</definedName>
    <definedName name="PHX" localSheetId="5">#REF!</definedName>
    <definedName name="PHX" localSheetId="21">#REF!</definedName>
    <definedName name="PHX">#REF!</definedName>
    <definedName name="postagedelivery6250" localSheetId="6">#REF!</definedName>
    <definedName name="postagedelivery6250" localSheetId="5">#REF!</definedName>
    <definedName name="postagedelivery6250" localSheetId="21">#REF!</definedName>
    <definedName name="postagedelivery6250">#REF!</definedName>
    <definedName name="PP_company_assets" localSheetId="6">#REF!</definedName>
    <definedName name="PP_company_assets" localSheetId="5">#REF!</definedName>
    <definedName name="PP_company_assets" localSheetId="21">#REF!</definedName>
    <definedName name="PP_company_assets">#REF!</definedName>
    <definedName name="pp_real_estate" localSheetId="6">#REF!</definedName>
    <definedName name="pp_real_estate" localSheetId="5">#REF!</definedName>
    <definedName name="pp_real_estate" localSheetId="21">#REF!</definedName>
    <definedName name="pp_real_estate">#REF!</definedName>
    <definedName name="pp_real_estate_B" localSheetId="6">#REF!</definedName>
    <definedName name="pp_real_estate_B" localSheetId="5">#REF!</definedName>
    <definedName name="pp_real_estate_B" localSheetId="21">#REF!</definedName>
    <definedName name="pp_real_estate_B">#REF!</definedName>
    <definedName name="premiere_cellule" localSheetId="6">#REF!</definedName>
    <definedName name="premiere_cellule" localSheetId="5">#REF!</definedName>
    <definedName name="premiere_cellule" localSheetId="21">#REF!</definedName>
    <definedName name="premiere_cellule">#REF!</definedName>
    <definedName name="premiere_colonne_libre">6</definedName>
    <definedName name="PRICE_BLACK_ZZ_PIN">#REF!</definedName>
    <definedName name="PRICE_X_PIN" localSheetId="13">#REF!</definedName>
    <definedName name="PRICE_X_PIN" localSheetId="14">#REF!</definedName>
    <definedName name="PRICE_X_PIN" localSheetId="7">'Individual Pin Gages'!$S$35:$S$44</definedName>
    <definedName name="PRICE_X_PIN">#REF!</definedName>
    <definedName name="PRICE_XX_PIN" localSheetId="13">#REF!</definedName>
    <definedName name="PRICE_XX_PIN" localSheetId="14">#REF!</definedName>
    <definedName name="PRICE_XX_PIN" localSheetId="7">'Individual Pin Gages'!$S$52:$S$61</definedName>
    <definedName name="PRICE_XX_PIN">#REF!</definedName>
    <definedName name="PRICE_Z_PIN" localSheetId="13">#REF!</definedName>
    <definedName name="PRICE_Z_PIN" localSheetId="14">#REF!</definedName>
    <definedName name="PRICE_Z_PIN" localSheetId="7">'Individual Pin Gages'!$S$18:$S$27</definedName>
    <definedName name="PRICE_Z_PIN">#REF!</definedName>
    <definedName name="print_janfeb" localSheetId="27">#REF!</definedName>
    <definedName name="print_janfeb" localSheetId="6">#REF!</definedName>
    <definedName name="print_janfeb" localSheetId="5">#REF!</definedName>
    <definedName name="print_janfeb" localSheetId="7">#REF!</definedName>
    <definedName name="print_janfeb" localSheetId="21">#REF!</definedName>
    <definedName name="print_janfeb">#REF!</definedName>
    <definedName name="print_marjun" localSheetId="27">#REF!</definedName>
    <definedName name="print_marjun" localSheetId="6">#REF!</definedName>
    <definedName name="print_marjun" localSheetId="5">#REF!</definedName>
    <definedName name="print_marjun" localSheetId="7">#REF!</definedName>
    <definedName name="print_marjun" localSheetId="21">#REF!</definedName>
    <definedName name="print_marjun">#REF!</definedName>
    <definedName name="print_total" localSheetId="27">#REF!</definedName>
    <definedName name="print_total" localSheetId="6">#REF!</definedName>
    <definedName name="print_total" localSheetId="5">#REF!</definedName>
    <definedName name="print_total" localSheetId="7">#REF!</definedName>
    <definedName name="print_total" localSheetId="21">#REF!</definedName>
    <definedName name="print_total">#REF!</definedName>
    <definedName name="PrintSales_Table" localSheetId="6">#REF!</definedName>
    <definedName name="PrintSales_Table" localSheetId="5">#REF!</definedName>
    <definedName name="PrintSales_Table" localSheetId="21">#REF!</definedName>
    <definedName name="PrintSales_Table">#REF!</definedName>
    <definedName name="Pro_Forma_FYE_Date" localSheetId="6">#REF!</definedName>
    <definedName name="Pro_Forma_FYE_Date" localSheetId="5">#REF!</definedName>
    <definedName name="Pro_Forma_FYE_Date" localSheetId="21">#REF!</definedName>
    <definedName name="Pro_Forma_FYE_Date">#REF!</definedName>
    <definedName name="ProdForm" localSheetId="13" hidden="1">#REF!</definedName>
    <definedName name="ProdForm" localSheetId="6" hidden="1">#REF!</definedName>
    <definedName name="ProdForm" localSheetId="5" hidden="1">#REF!</definedName>
    <definedName name="ProdForm" localSheetId="14" hidden="1">#REF!</definedName>
    <definedName name="ProdForm" localSheetId="21" hidden="1">#REF!</definedName>
    <definedName name="ProdForm" hidden="1">#REF!</definedName>
    <definedName name="professionalfees6270" localSheetId="6">#REF!</definedName>
    <definedName name="professionalfees6270" localSheetId="5">#REF!</definedName>
    <definedName name="professionalfees6270" localSheetId="21">#REF!</definedName>
    <definedName name="professionalfees6270">#REF!</definedName>
    <definedName name="Quarters" localSheetId="6">#REF!</definedName>
    <definedName name="Quarters" localSheetId="5">#REF!</definedName>
    <definedName name="Quarters" localSheetId="21">#REF!</definedName>
    <definedName name="Quarters">#REF!</definedName>
    <definedName name="ratecardtable" localSheetId="6">#REF!</definedName>
    <definedName name="ratecardtable" localSheetId="5">#REF!</definedName>
    <definedName name="ratecardtable" localSheetId="21">#REF!</definedName>
    <definedName name="ratecardtable">#REF!</definedName>
    <definedName name="RCArea" localSheetId="13" hidden="1">#REF!</definedName>
    <definedName name="RCArea" localSheetId="6" hidden="1">#REF!</definedName>
    <definedName name="RCArea" localSheetId="5" hidden="1">#REF!</definedName>
    <definedName name="RCArea" localSheetId="14" hidden="1">#REF!</definedName>
    <definedName name="RCArea" localSheetId="21" hidden="1">#REF!</definedName>
    <definedName name="RCArea" hidden="1">#REF!</definedName>
    <definedName name="recapture_tax" localSheetId="6">#REF!</definedName>
    <definedName name="recapture_tax" localSheetId="5">#REF!</definedName>
    <definedName name="recapture_tax" localSheetId="21">#REF!</definedName>
    <definedName name="recapture_tax">#REF!</definedName>
    <definedName name="recapture_tax_RE" localSheetId="6">#REF!</definedName>
    <definedName name="recapture_tax_RE" localSheetId="5">#REF!</definedName>
    <definedName name="recapture_tax_RE" localSheetId="21">#REF!</definedName>
    <definedName name="recapture_tax_RE">#REF!</definedName>
    <definedName name="recruiting6285" localSheetId="6">#REF!</definedName>
    <definedName name="recruiting6285" localSheetId="5">#REF!</definedName>
    <definedName name="recruiting6285" localSheetId="21">#REF!</definedName>
    <definedName name="recruiting6285">#REF!</definedName>
    <definedName name="Rent" localSheetId="13" hidden="1">#REF!</definedName>
    <definedName name="Rent" localSheetId="6" hidden="1">#REF!</definedName>
    <definedName name="Rent" localSheetId="5" hidden="1">#REF!</definedName>
    <definedName name="Rent" localSheetId="14" hidden="1">#REF!</definedName>
    <definedName name="Rent" localSheetId="21" hidden="1">#REF!</definedName>
    <definedName name="Rent" hidden="1">#REF!</definedName>
    <definedName name="Rent2" localSheetId="6" hidden="1">#REF!</definedName>
    <definedName name="Rent2" localSheetId="5" hidden="1">#REF!</definedName>
    <definedName name="Rent2" localSheetId="21" hidden="1">#REF!</definedName>
    <definedName name="Rent2" hidden="1">#REF!</definedName>
    <definedName name="rent6290" localSheetId="6">#REF!</definedName>
    <definedName name="rent6290" localSheetId="5">#REF!</definedName>
    <definedName name="rent6290" localSheetId="21">#REF!</definedName>
    <definedName name="rent6290">#REF!</definedName>
    <definedName name="repairs6300" localSheetId="6">#REF!</definedName>
    <definedName name="repairs6300" localSheetId="5">#REF!</definedName>
    <definedName name="repairs6300" localSheetId="21">#REF!</definedName>
    <definedName name="repairs6300">#REF!</definedName>
    <definedName name="Rev_Subcategory" localSheetId="6">#REF!</definedName>
    <definedName name="Rev_Subcategory" localSheetId="5">#REF!</definedName>
    <definedName name="Rev_Subcategory" localSheetId="21">#REF!</definedName>
    <definedName name="Rev_Subcategory">#REF!</definedName>
    <definedName name="Rev_Type" localSheetId="6">#REF!</definedName>
    <definedName name="Rev_Type" localSheetId="5">#REF!</definedName>
    <definedName name="Rev_Type" localSheetId="21">#REF!</definedName>
    <definedName name="Rev_Type">#REF!</definedName>
    <definedName name="Rev1_Subcategory" localSheetId="6">#REF!</definedName>
    <definedName name="Rev1_Subcategory" localSheetId="5">#REF!</definedName>
    <definedName name="Rev1_Subcategory" localSheetId="21">#REF!</definedName>
    <definedName name="Rev1_Subcategory">#REF!</definedName>
    <definedName name="REVENUE012016" localSheetId="6">#REF!</definedName>
    <definedName name="REVENUE012016" localSheetId="5">#REF!</definedName>
    <definedName name="REVENUE012016" localSheetId="21">#REF!</definedName>
    <definedName name="REVENUE012016">#REF!</definedName>
    <definedName name="REVENUEFORECAST" localSheetId="6">#REF!</definedName>
    <definedName name="REVENUEFORECAST" localSheetId="5">#REF!</definedName>
    <definedName name="REVENUEFORECAST" localSheetId="21">#REF!</definedName>
    <definedName name="REVENUEFORECAST">#REF!</definedName>
    <definedName name="Revolver_commitment" localSheetId="6">#REF!</definedName>
    <definedName name="Revolver_commitment" localSheetId="5">#REF!</definedName>
    <definedName name="Revolver_commitment" localSheetId="21">#REF!</definedName>
    <definedName name="Revolver_commitment">#REF!</definedName>
    <definedName name="RID" localSheetId="6">#REF!</definedName>
    <definedName name="RID" localSheetId="5">#REF!</definedName>
    <definedName name="RID" localSheetId="21">#REF!</definedName>
    <definedName name="RID">#REF!</definedName>
    <definedName name="seller_note" localSheetId="6">#REF!</definedName>
    <definedName name="seller_note" localSheetId="5">#REF!</definedName>
    <definedName name="seller_note" localSheetId="21">#REF!</definedName>
    <definedName name="seller_note">#REF!</definedName>
    <definedName name="Service_Type" localSheetId="6">#REF!</definedName>
    <definedName name="Service_Type" localSheetId="5">#REF!</definedName>
    <definedName name="Service_Type" localSheetId="21">#REF!</definedName>
    <definedName name="Service_Type">#REF!</definedName>
    <definedName name="Service1_type" localSheetId="6">#REF!</definedName>
    <definedName name="Service1_type" localSheetId="5">#REF!</definedName>
    <definedName name="Service1_type" localSheetId="21">#REF!</definedName>
    <definedName name="Service1_type">#REF!</definedName>
    <definedName name="Show.Acct.Update.Warning" localSheetId="6" hidden="1">#REF!</definedName>
    <definedName name="Show.Acct.Update.Warning" localSheetId="5" hidden="1">#REF!</definedName>
    <definedName name="Show.Acct.Update.Warning" localSheetId="21" hidden="1">#REF!</definedName>
    <definedName name="Show.Acct.Update.Warning" hidden="1">#REF!</definedName>
    <definedName name="Show.MDB.Update.Warning" localSheetId="6" hidden="1">#REF!</definedName>
    <definedName name="Show.MDB.Update.Warning" localSheetId="5" hidden="1">#REF!</definedName>
    <definedName name="Show.MDB.Update.Warning" localSheetId="21" hidden="1">#REF!</definedName>
    <definedName name="Show.MDB.Update.Warning" hidden="1">#REF!</definedName>
    <definedName name="societe" localSheetId="6">#REF!</definedName>
    <definedName name="societe" localSheetId="5">#REF!</definedName>
    <definedName name="societe" localSheetId="21">#REF!</definedName>
    <definedName name="societe">#REF!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1</definedName>
    <definedName name="solver_val" hidden="1">0</definedName>
    <definedName name="SpecialPrice" localSheetId="27" hidden="1">#REF!</definedName>
    <definedName name="SpecialPrice" localSheetId="6" hidden="1">#REF!</definedName>
    <definedName name="SpecialPrice" localSheetId="5" hidden="1">#REF!</definedName>
    <definedName name="SpecialPrice" localSheetId="7" hidden="1">#REF!</definedName>
    <definedName name="SpecialPrice" localSheetId="21" hidden="1">#REF!</definedName>
    <definedName name="SpecialPrice" hidden="1">#REF!</definedName>
    <definedName name="state_tax" localSheetId="27">#REF!</definedName>
    <definedName name="state_tax" localSheetId="6">#REF!</definedName>
    <definedName name="state_tax" localSheetId="5">#REF!</definedName>
    <definedName name="state_tax" localSheetId="7">#REF!</definedName>
    <definedName name="state_tax" localSheetId="21">#REF!</definedName>
    <definedName name="state_tax">#REF!</definedName>
    <definedName name="sweep" localSheetId="6">#REF!</definedName>
    <definedName name="sweep" localSheetId="5">#REF!</definedName>
    <definedName name="sweep" localSheetId="21">#REF!</definedName>
    <definedName name="sweep">#REF!</definedName>
    <definedName name="table1" localSheetId="6">#REF!</definedName>
    <definedName name="table1" localSheetId="5">#REF!</definedName>
    <definedName name="table1" localSheetId="21">#REF!</definedName>
    <definedName name="table1">#REF!</definedName>
    <definedName name="tax" localSheetId="6">#REF!</definedName>
    <definedName name="tax" localSheetId="5">#REF!</definedName>
    <definedName name="tax" localSheetId="21">#REF!</definedName>
    <definedName name="tax">#REF!</definedName>
    <definedName name="tax_2" localSheetId="6">#REF!</definedName>
    <definedName name="tax_2" localSheetId="5">#REF!</definedName>
    <definedName name="tax_2" localSheetId="21">#REF!</definedName>
    <definedName name="tax_2">#REF!</definedName>
    <definedName name="taxes6820" localSheetId="6">#REF!</definedName>
    <definedName name="taxes6820" localSheetId="5">#REF!</definedName>
    <definedName name="taxes6820" localSheetId="21">#REF!</definedName>
    <definedName name="taxes6820">#REF!</definedName>
    <definedName name="tbl_ProdInfo" localSheetId="6" hidden="1">#REF!</definedName>
    <definedName name="tbl_ProdInfo" localSheetId="5" hidden="1">#REF!</definedName>
    <definedName name="tbl_ProdInfo" localSheetId="21" hidden="1">#REF!</definedName>
    <definedName name="tbl_ProdInfo" hidden="1">#REF!</definedName>
    <definedName name="telephoneinternet6340" localSheetId="6">#REF!</definedName>
    <definedName name="telephoneinternet6340" localSheetId="5">#REF!</definedName>
    <definedName name="telephoneinternet6340" localSheetId="21">#REF!</definedName>
    <definedName name="telephoneinternet6340">#REF!</definedName>
    <definedName name="Term_Loan_A" localSheetId="6">#REF!</definedName>
    <definedName name="Term_Loan_A" localSheetId="5">#REF!</definedName>
    <definedName name="Term_Loan_A" localSheetId="21">#REF!</definedName>
    <definedName name="Term_Loan_A">#REF!</definedName>
    <definedName name="Term_loan_B" localSheetId="6">#REF!</definedName>
    <definedName name="Term_loan_B" localSheetId="5">#REF!</definedName>
    <definedName name="Term_loan_B" localSheetId="21">#REF!</definedName>
    <definedName name="Term_loan_B">#REF!</definedName>
    <definedName name="Term_loan_C" localSheetId="6">#REF!</definedName>
    <definedName name="Term_loan_C" localSheetId="5">#REF!</definedName>
    <definedName name="Term_loan_C" localSheetId="21">#REF!</definedName>
    <definedName name="Term_loan_C">#REF!</definedName>
    <definedName name="term_rate" localSheetId="6">#REF!</definedName>
    <definedName name="term_rate" localSheetId="5">#REF!</definedName>
    <definedName name="term_rate" localSheetId="21">#REF!</definedName>
    <definedName name="term_rate">#REF!</definedName>
    <definedName name="TextRefCopyRangeCount" hidden="1">4</definedName>
    <definedName name="total6" localSheetId="27">#REF!</definedName>
    <definedName name="total6" localSheetId="6">#REF!</definedName>
    <definedName name="total6" localSheetId="5">#REF!</definedName>
    <definedName name="total6" localSheetId="21">#REF!</definedName>
    <definedName name="total6">#REF!</definedName>
    <definedName name="Trailers" localSheetId="27">#REF!</definedName>
    <definedName name="Trailers" localSheetId="6">#REF!</definedName>
    <definedName name="Trailers" localSheetId="5">#REF!</definedName>
    <definedName name="Trailers" localSheetId="21">#REF!</definedName>
    <definedName name="Trailers">#REF!</definedName>
    <definedName name="training6347" localSheetId="27">#REF!</definedName>
    <definedName name="training6347" localSheetId="6">#REF!</definedName>
    <definedName name="training6347" localSheetId="5">#REF!</definedName>
    <definedName name="training6347" localSheetId="21">#REF!</definedName>
    <definedName name="training6347">#REF!</definedName>
    <definedName name="travelentertainment6350" localSheetId="6">#REF!</definedName>
    <definedName name="travelentertainment6350" localSheetId="5">#REF!</definedName>
    <definedName name="travelentertainment6350" localSheetId="21">#REF!</definedName>
    <definedName name="travelentertainment6350">#REF!</definedName>
    <definedName name="units" localSheetId="6">#REF!</definedName>
    <definedName name="units" localSheetId="5">#REF!</definedName>
    <definedName name="units" localSheetId="21">#REF!</definedName>
    <definedName name="units">#REF!</definedName>
    <definedName name="utilities6390" localSheetId="6">#REF!</definedName>
    <definedName name="utilities6390" localSheetId="5">#REF!</definedName>
    <definedName name="utilities6390" localSheetId="21">#REF!</definedName>
    <definedName name="utilities6390">#REF!</definedName>
    <definedName name="utilizationtarget" localSheetId="6">#REF!</definedName>
    <definedName name="utilizationtarget" localSheetId="5">#REF!</definedName>
    <definedName name="utilizationtarget" localSheetId="21">#REF!</definedName>
    <definedName name="utilizationtarget">#REF!</definedName>
    <definedName name="version" localSheetId="6">#REF!</definedName>
    <definedName name="version" localSheetId="5">#REF!</definedName>
    <definedName name="version" localSheetId="21">#REF!</definedName>
    <definedName name="version">#REF!</definedName>
    <definedName name="vertex42_copyright" hidden="1">"© 2008-2018 Vertex42 LLC"</definedName>
    <definedName name="vertex42_id" hidden="1">"loan-amortization-schedule.xlsx"</definedName>
    <definedName name="vertex42_title" hidden="1">"Loan Amortization Schedule"</definedName>
    <definedName name="WACC" localSheetId="27">#REF!</definedName>
    <definedName name="WACC" localSheetId="6">#REF!</definedName>
    <definedName name="WACC" localSheetId="5">#REF!</definedName>
    <definedName name="WACC">#REF!</definedName>
    <definedName name="WalkYTDBudNEW" localSheetId="13" hidden="1">{"FIXVARIANCE",#N/A,FALSE,"COSTPHSE";"SOURCING",#N/A,FALSE,"COSTPHSE"}</definedName>
    <definedName name="WalkYTDBudNEW" localSheetId="27" hidden="1">{"FIXVARIANCE",#N/A,FALSE,"COSTPHSE";"SOURCING",#N/A,FALSE,"COSTPHSE"}</definedName>
    <definedName name="WalkYTDBudNEW" localSheetId="6" hidden="1">{"FIXVARIANCE",#N/A,FALSE,"COSTPHSE";"SOURCING",#N/A,FALSE,"COSTPHSE"}</definedName>
    <definedName name="WalkYTDBudNEW" localSheetId="5" hidden="1">{"FIXVARIANCE",#N/A,FALSE,"COSTPHSE";"SOURCING",#N/A,FALSE,"COSTPHSE"}</definedName>
    <definedName name="WalkYTDBudNEW" localSheetId="14" hidden="1">{"FIXVARIANCE",#N/A,FALSE,"COSTPHSE";"SOURCING",#N/A,FALSE,"COSTPHSE"}</definedName>
    <definedName name="WalkYTDBudNEW" localSheetId="7" hidden="1">{"FIXVARIANCE",#N/A,FALSE,"COSTPHSE";"SOURCING",#N/A,FALSE,"COSTPHSE"}</definedName>
    <definedName name="WalkYTDBudNEW" localSheetId="21" hidden="1">{"FIXVARIANCE",#N/A,FALSE,"COSTPHSE";"SOURCING",#N/A,FALSE,"COSTPHSE"}</definedName>
    <definedName name="WalkYTDBudNEW" localSheetId="20" hidden="1">{"FIXVARIANCE",#N/A,FALSE,"COSTPHSE";"SOURCING",#N/A,FALSE,"COSTPHSE"}</definedName>
    <definedName name="WalkYTDBudNEW" localSheetId="17" hidden="1">{"FIXVARIANCE",#N/A,FALSE,"COSTPHSE";"SOURCING",#N/A,FALSE,"COSTPHSE"}</definedName>
    <definedName name="WalkYTDBudNEW" localSheetId="18" hidden="1">{"FIXVARIANCE",#N/A,FALSE,"COSTPHSE";"SOURCING",#N/A,FALSE,"COSTPHSE"}</definedName>
    <definedName name="WalkYTDBudNEW" localSheetId="1" hidden="1">{"FIXVARIANCE",#N/A,FALSE,"COSTPHSE";"SOURCING",#N/A,FALSE,"COSTPHSE"}</definedName>
    <definedName name="WalkYTDBudNEW" localSheetId="19" hidden="1">{"FIXVARIANCE",#N/A,FALSE,"COSTPHSE";"SOURCING",#N/A,FALSE,"COSTPHSE"}</definedName>
    <definedName name="WalkYTDBudNEW" hidden="1">{"FIXVARIANCE",#N/A,FALSE,"COSTPHSE";"SOURCING",#N/A,FALSE,"COSTPHSE"}</definedName>
    <definedName name="wrn.Aging._.and._.Trend._.Analysis." localSheetId="13" hidden="1">{#N/A,#N/A,FALSE,"Aging Summary";#N/A,#N/A,FALSE,"Ratio Analysis";#N/A,#N/A,FALSE,"Test 120 Day Accts";#N/A,#N/A,FALSE,"Tickmarks"}</definedName>
    <definedName name="wrn.Aging._.and._.Trend._.Analysis." localSheetId="27" hidden="1">{#N/A,#N/A,FALSE,"Aging Summary";#N/A,#N/A,FALSE,"Ratio Analysis";#N/A,#N/A,FALSE,"Test 120 Day Accts";#N/A,#N/A,FALSE,"Tickmarks"}</definedName>
    <definedName name="wrn.Aging._.and._.Trend._.Analysis." localSheetId="6" hidden="1">{#N/A,#N/A,FALSE,"Aging Summary";#N/A,#N/A,FALSE,"Ratio Analysis";#N/A,#N/A,FALSE,"Test 120 Day Accts";#N/A,#N/A,FALSE,"Tickmarks"}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localSheetId="14" hidden="1">{#N/A,#N/A,FALSE,"Aging Summary";#N/A,#N/A,FALSE,"Ratio Analysis";#N/A,#N/A,FALSE,"Test 120 Day Accts";#N/A,#N/A,FALSE,"Tickmarks"}</definedName>
    <definedName name="wrn.Aging._.and._.Trend._.Analysis." localSheetId="7" hidden="1">{#N/A,#N/A,FALSE,"Aging Summary";#N/A,#N/A,FALSE,"Ratio Analysis";#N/A,#N/A,FALSE,"Test 120 Day Accts";#N/A,#N/A,FALSE,"Tickmarks"}</definedName>
    <definedName name="wrn.Aging._.and._.Trend._.Analysis." localSheetId="21" hidden="1">{#N/A,#N/A,FALSE,"Aging Summary";#N/A,#N/A,FALSE,"Ratio Analysis";#N/A,#N/A,FALSE,"Test 120 Day Accts";#N/A,#N/A,FALSE,"Tickmarks"}</definedName>
    <definedName name="wrn.Aging._.and._.Trend._.Analysis." localSheetId="20" hidden="1">{#N/A,#N/A,FALSE,"Aging Summary";#N/A,#N/A,FALSE,"Ratio Analysis";#N/A,#N/A,FALSE,"Test 120 Day Accts";#N/A,#N/A,FALSE,"Tickmarks"}</definedName>
    <definedName name="wrn.Aging._.and._.Trend._.Analysis." localSheetId="17" hidden="1">{#N/A,#N/A,FALSE,"Aging Summary";#N/A,#N/A,FALSE,"Ratio Analysis";#N/A,#N/A,FALSE,"Test 120 Day Accts";#N/A,#N/A,FALSE,"Tickmarks"}</definedName>
    <definedName name="wrn.Aging._.and._.Trend._.Analysis." localSheetId="18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19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pp_a" localSheetId="13" hidden="1">{#N/A,#N/A,FALSE,"toc";#N/A,#N/A,FALSE,"a1";#N/A,#N/A,FALSE,"a2";#N/A,#N/A,FALSE,"a3";#N/A,#N/A,FALSE,"a4";#N/A,#N/A,FALSE,"a5";#N/A,#N/A,FALSE,"a6";#N/A,#N/A,FALSE,"a7";#N/A,#N/A,FALSE,"a8";#N/A,#N/A,FALSE,"a9";#N/A,#N/A,FALSE,"a10";#N/A,#N/A,FALSE,"a11";#N/A,#N/A,FALSE,"a12";#N/A,#N/A,FALSE,"a13";#N/A,#N/A,FALSE,"a14a";#N/A,#N/A,FALSE,"a14b";#N/A,#N/A,FALSE,"a15";#N/A,#N/A,FALSE,"a16"}</definedName>
    <definedName name="wrn.app_a" localSheetId="27" hidden="1">{#N/A,#N/A,FALSE,"toc";#N/A,#N/A,FALSE,"a1";#N/A,#N/A,FALSE,"a2";#N/A,#N/A,FALSE,"a3";#N/A,#N/A,FALSE,"a4";#N/A,#N/A,FALSE,"a5";#N/A,#N/A,FALSE,"a6";#N/A,#N/A,FALSE,"a7";#N/A,#N/A,FALSE,"a8";#N/A,#N/A,FALSE,"a9";#N/A,#N/A,FALSE,"a10";#N/A,#N/A,FALSE,"a11";#N/A,#N/A,FALSE,"a12";#N/A,#N/A,FALSE,"a13";#N/A,#N/A,FALSE,"a14a";#N/A,#N/A,FALSE,"a14b";#N/A,#N/A,FALSE,"a15";#N/A,#N/A,FALSE,"a16"}</definedName>
    <definedName name="wrn.app_a" localSheetId="6" hidden="1">{#N/A,#N/A,FALSE,"toc";#N/A,#N/A,FALSE,"a1";#N/A,#N/A,FALSE,"a2";#N/A,#N/A,FALSE,"a3";#N/A,#N/A,FALSE,"a4";#N/A,#N/A,FALSE,"a5";#N/A,#N/A,FALSE,"a6";#N/A,#N/A,FALSE,"a7";#N/A,#N/A,FALSE,"a8";#N/A,#N/A,FALSE,"a9";#N/A,#N/A,FALSE,"a10";#N/A,#N/A,FALSE,"a11";#N/A,#N/A,FALSE,"a12";#N/A,#N/A,FALSE,"a13";#N/A,#N/A,FALSE,"a14a";#N/A,#N/A,FALSE,"a14b";#N/A,#N/A,FALSE,"a15";#N/A,#N/A,FALSE,"a16"}</definedName>
    <definedName name="wrn.app_a" localSheetId="5" hidden="1">{#N/A,#N/A,FALSE,"toc";#N/A,#N/A,FALSE,"a1";#N/A,#N/A,FALSE,"a2";#N/A,#N/A,FALSE,"a3";#N/A,#N/A,FALSE,"a4";#N/A,#N/A,FALSE,"a5";#N/A,#N/A,FALSE,"a6";#N/A,#N/A,FALSE,"a7";#N/A,#N/A,FALSE,"a8";#N/A,#N/A,FALSE,"a9";#N/A,#N/A,FALSE,"a10";#N/A,#N/A,FALSE,"a11";#N/A,#N/A,FALSE,"a12";#N/A,#N/A,FALSE,"a13";#N/A,#N/A,FALSE,"a14a";#N/A,#N/A,FALSE,"a14b";#N/A,#N/A,FALSE,"a15";#N/A,#N/A,FALSE,"a16"}</definedName>
    <definedName name="wrn.app_a" localSheetId="14" hidden="1">{#N/A,#N/A,FALSE,"toc";#N/A,#N/A,FALSE,"a1";#N/A,#N/A,FALSE,"a2";#N/A,#N/A,FALSE,"a3";#N/A,#N/A,FALSE,"a4";#N/A,#N/A,FALSE,"a5";#N/A,#N/A,FALSE,"a6";#N/A,#N/A,FALSE,"a7";#N/A,#N/A,FALSE,"a8";#N/A,#N/A,FALSE,"a9";#N/A,#N/A,FALSE,"a10";#N/A,#N/A,FALSE,"a11";#N/A,#N/A,FALSE,"a12";#N/A,#N/A,FALSE,"a13";#N/A,#N/A,FALSE,"a14a";#N/A,#N/A,FALSE,"a14b";#N/A,#N/A,FALSE,"a15";#N/A,#N/A,FALSE,"a16"}</definedName>
    <definedName name="wrn.app_a" localSheetId="7" hidden="1">{#N/A,#N/A,FALSE,"toc";#N/A,#N/A,FALSE,"a1";#N/A,#N/A,FALSE,"a2";#N/A,#N/A,FALSE,"a3";#N/A,#N/A,FALSE,"a4";#N/A,#N/A,FALSE,"a5";#N/A,#N/A,FALSE,"a6";#N/A,#N/A,FALSE,"a7";#N/A,#N/A,FALSE,"a8";#N/A,#N/A,FALSE,"a9";#N/A,#N/A,FALSE,"a10";#N/A,#N/A,FALSE,"a11";#N/A,#N/A,FALSE,"a12";#N/A,#N/A,FALSE,"a13";#N/A,#N/A,FALSE,"a14a";#N/A,#N/A,FALSE,"a14b";#N/A,#N/A,FALSE,"a15";#N/A,#N/A,FALSE,"a16"}</definedName>
    <definedName name="wrn.app_a" localSheetId="21" hidden="1">{#N/A,#N/A,FALSE,"toc";#N/A,#N/A,FALSE,"a1";#N/A,#N/A,FALSE,"a2";#N/A,#N/A,FALSE,"a3";#N/A,#N/A,FALSE,"a4";#N/A,#N/A,FALSE,"a5";#N/A,#N/A,FALSE,"a6";#N/A,#N/A,FALSE,"a7";#N/A,#N/A,FALSE,"a8";#N/A,#N/A,FALSE,"a9";#N/A,#N/A,FALSE,"a10";#N/A,#N/A,FALSE,"a11";#N/A,#N/A,FALSE,"a12";#N/A,#N/A,FALSE,"a13";#N/A,#N/A,FALSE,"a14a";#N/A,#N/A,FALSE,"a14b";#N/A,#N/A,FALSE,"a15";#N/A,#N/A,FALSE,"a16"}</definedName>
    <definedName name="wrn.app_a" localSheetId="20" hidden="1">{#N/A,#N/A,FALSE,"toc";#N/A,#N/A,FALSE,"a1";#N/A,#N/A,FALSE,"a2";#N/A,#N/A,FALSE,"a3";#N/A,#N/A,FALSE,"a4";#N/A,#N/A,FALSE,"a5";#N/A,#N/A,FALSE,"a6";#N/A,#N/A,FALSE,"a7";#N/A,#N/A,FALSE,"a8";#N/A,#N/A,FALSE,"a9";#N/A,#N/A,FALSE,"a10";#N/A,#N/A,FALSE,"a11";#N/A,#N/A,FALSE,"a12";#N/A,#N/A,FALSE,"a13";#N/A,#N/A,FALSE,"a14a";#N/A,#N/A,FALSE,"a14b";#N/A,#N/A,FALSE,"a15";#N/A,#N/A,FALSE,"a16"}</definedName>
    <definedName name="wrn.app_a" localSheetId="17" hidden="1">{#N/A,#N/A,FALSE,"toc";#N/A,#N/A,FALSE,"a1";#N/A,#N/A,FALSE,"a2";#N/A,#N/A,FALSE,"a3";#N/A,#N/A,FALSE,"a4";#N/A,#N/A,FALSE,"a5";#N/A,#N/A,FALSE,"a6";#N/A,#N/A,FALSE,"a7";#N/A,#N/A,FALSE,"a8";#N/A,#N/A,FALSE,"a9";#N/A,#N/A,FALSE,"a10";#N/A,#N/A,FALSE,"a11";#N/A,#N/A,FALSE,"a12";#N/A,#N/A,FALSE,"a13";#N/A,#N/A,FALSE,"a14a";#N/A,#N/A,FALSE,"a14b";#N/A,#N/A,FALSE,"a15";#N/A,#N/A,FALSE,"a16"}</definedName>
    <definedName name="wrn.app_a" localSheetId="18" hidden="1">{#N/A,#N/A,FALSE,"toc";#N/A,#N/A,FALSE,"a1";#N/A,#N/A,FALSE,"a2";#N/A,#N/A,FALSE,"a3";#N/A,#N/A,FALSE,"a4";#N/A,#N/A,FALSE,"a5";#N/A,#N/A,FALSE,"a6";#N/A,#N/A,FALSE,"a7";#N/A,#N/A,FALSE,"a8";#N/A,#N/A,FALSE,"a9";#N/A,#N/A,FALSE,"a10";#N/A,#N/A,FALSE,"a11";#N/A,#N/A,FALSE,"a12";#N/A,#N/A,FALSE,"a13";#N/A,#N/A,FALSE,"a14a";#N/A,#N/A,FALSE,"a14b";#N/A,#N/A,FALSE,"a15";#N/A,#N/A,FALSE,"a16"}</definedName>
    <definedName name="wrn.app_a" localSheetId="1" hidden="1">{#N/A,#N/A,FALSE,"toc";#N/A,#N/A,FALSE,"a1";#N/A,#N/A,FALSE,"a2";#N/A,#N/A,FALSE,"a3";#N/A,#N/A,FALSE,"a4";#N/A,#N/A,FALSE,"a5";#N/A,#N/A,FALSE,"a6";#N/A,#N/A,FALSE,"a7";#N/A,#N/A,FALSE,"a8";#N/A,#N/A,FALSE,"a9";#N/A,#N/A,FALSE,"a10";#N/A,#N/A,FALSE,"a11";#N/A,#N/A,FALSE,"a12";#N/A,#N/A,FALSE,"a13";#N/A,#N/A,FALSE,"a14a";#N/A,#N/A,FALSE,"a14b";#N/A,#N/A,FALSE,"a15";#N/A,#N/A,FALSE,"a16"}</definedName>
    <definedName name="wrn.app_a" localSheetId="19" hidden="1">{#N/A,#N/A,FALSE,"toc";#N/A,#N/A,FALSE,"a1";#N/A,#N/A,FALSE,"a2";#N/A,#N/A,FALSE,"a3";#N/A,#N/A,FALSE,"a4";#N/A,#N/A,FALSE,"a5";#N/A,#N/A,FALSE,"a6";#N/A,#N/A,FALSE,"a7";#N/A,#N/A,FALSE,"a8";#N/A,#N/A,FALSE,"a9";#N/A,#N/A,FALSE,"a10";#N/A,#N/A,FALSE,"a11";#N/A,#N/A,FALSE,"a12";#N/A,#N/A,FALSE,"a13";#N/A,#N/A,FALSE,"a14a";#N/A,#N/A,FALSE,"a14b";#N/A,#N/A,FALSE,"a15";#N/A,#N/A,FALSE,"a16"}</definedName>
    <definedName name="wrn.app_a" hidden="1">{#N/A,#N/A,FALSE,"toc";#N/A,#N/A,FALSE,"a1";#N/A,#N/A,FALSE,"a2";#N/A,#N/A,FALSE,"a3";#N/A,#N/A,FALSE,"a4";#N/A,#N/A,FALSE,"a5";#N/A,#N/A,FALSE,"a6";#N/A,#N/A,FALSE,"a7";#N/A,#N/A,FALSE,"a8";#N/A,#N/A,FALSE,"a9";#N/A,#N/A,FALSE,"a10";#N/A,#N/A,FALSE,"a11";#N/A,#N/A,FALSE,"a12";#N/A,#N/A,FALSE,"a13";#N/A,#N/A,FALSE,"a14a";#N/A,#N/A,FALSE,"a14b";#N/A,#N/A,FALSE,"a15";#N/A,#N/A,FALSE,"a16"}</definedName>
    <definedName name="wrn.app_a." localSheetId="13" hidden="1">{#N/A,#N/A,FALSE,"toc";#N/A,#N/A,FALSE,"a1";#N/A,#N/A,FALSE,"a2";#N/A,#N/A,FALSE,"a3";#N/A,#N/A,FALSE,"a4";#N/A,#N/A,FALSE,"a5";#N/A,#N/A,FALSE,"a6";#N/A,#N/A,FALSE,"a7";#N/A,#N/A,FALSE,"a8";#N/A,#N/A,FALSE,"a9";#N/A,#N/A,FALSE,"a10";#N/A,#N/A,FALSE,"a11";#N/A,#N/A,FALSE,"a12";#N/A,#N/A,FALSE,"a13";#N/A,#N/A,FALSE,"a14a";#N/A,#N/A,FALSE,"a14b";#N/A,#N/A,FALSE,"a15";#N/A,#N/A,FALSE,"a16"}</definedName>
    <definedName name="wrn.app_a." localSheetId="27" hidden="1">{#N/A,#N/A,FALSE,"toc";#N/A,#N/A,FALSE,"a1";#N/A,#N/A,FALSE,"a2";#N/A,#N/A,FALSE,"a3";#N/A,#N/A,FALSE,"a4";#N/A,#N/A,FALSE,"a5";#N/A,#N/A,FALSE,"a6";#N/A,#N/A,FALSE,"a7";#N/A,#N/A,FALSE,"a8";#N/A,#N/A,FALSE,"a9";#N/A,#N/A,FALSE,"a10";#N/A,#N/A,FALSE,"a11";#N/A,#N/A,FALSE,"a12";#N/A,#N/A,FALSE,"a13";#N/A,#N/A,FALSE,"a14a";#N/A,#N/A,FALSE,"a14b";#N/A,#N/A,FALSE,"a15";#N/A,#N/A,FALSE,"a16"}</definedName>
    <definedName name="wrn.app_a." localSheetId="6" hidden="1">{#N/A,#N/A,FALSE,"toc";#N/A,#N/A,FALSE,"a1";#N/A,#N/A,FALSE,"a2";#N/A,#N/A,FALSE,"a3";#N/A,#N/A,FALSE,"a4";#N/A,#N/A,FALSE,"a5";#N/A,#N/A,FALSE,"a6";#N/A,#N/A,FALSE,"a7";#N/A,#N/A,FALSE,"a8";#N/A,#N/A,FALSE,"a9";#N/A,#N/A,FALSE,"a10";#N/A,#N/A,FALSE,"a11";#N/A,#N/A,FALSE,"a12";#N/A,#N/A,FALSE,"a13";#N/A,#N/A,FALSE,"a14a";#N/A,#N/A,FALSE,"a14b";#N/A,#N/A,FALSE,"a15";#N/A,#N/A,FALSE,"a16"}</definedName>
    <definedName name="wrn.app_a." localSheetId="5" hidden="1">{#N/A,#N/A,FALSE,"toc";#N/A,#N/A,FALSE,"a1";#N/A,#N/A,FALSE,"a2";#N/A,#N/A,FALSE,"a3";#N/A,#N/A,FALSE,"a4";#N/A,#N/A,FALSE,"a5";#N/A,#N/A,FALSE,"a6";#N/A,#N/A,FALSE,"a7";#N/A,#N/A,FALSE,"a8";#N/A,#N/A,FALSE,"a9";#N/A,#N/A,FALSE,"a10";#N/A,#N/A,FALSE,"a11";#N/A,#N/A,FALSE,"a12";#N/A,#N/A,FALSE,"a13";#N/A,#N/A,FALSE,"a14a";#N/A,#N/A,FALSE,"a14b";#N/A,#N/A,FALSE,"a15";#N/A,#N/A,FALSE,"a16"}</definedName>
    <definedName name="wrn.app_a." localSheetId="14" hidden="1">{#N/A,#N/A,FALSE,"toc";#N/A,#N/A,FALSE,"a1";#N/A,#N/A,FALSE,"a2";#N/A,#N/A,FALSE,"a3";#N/A,#N/A,FALSE,"a4";#N/A,#N/A,FALSE,"a5";#N/A,#N/A,FALSE,"a6";#N/A,#N/A,FALSE,"a7";#N/A,#N/A,FALSE,"a8";#N/A,#N/A,FALSE,"a9";#N/A,#N/A,FALSE,"a10";#N/A,#N/A,FALSE,"a11";#N/A,#N/A,FALSE,"a12";#N/A,#N/A,FALSE,"a13";#N/A,#N/A,FALSE,"a14a";#N/A,#N/A,FALSE,"a14b";#N/A,#N/A,FALSE,"a15";#N/A,#N/A,FALSE,"a16"}</definedName>
    <definedName name="wrn.app_a." localSheetId="7" hidden="1">{#N/A,#N/A,FALSE,"toc";#N/A,#N/A,FALSE,"a1";#N/A,#N/A,FALSE,"a2";#N/A,#N/A,FALSE,"a3";#N/A,#N/A,FALSE,"a4";#N/A,#N/A,FALSE,"a5";#N/A,#N/A,FALSE,"a6";#N/A,#N/A,FALSE,"a7";#N/A,#N/A,FALSE,"a8";#N/A,#N/A,FALSE,"a9";#N/A,#N/A,FALSE,"a10";#N/A,#N/A,FALSE,"a11";#N/A,#N/A,FALSE,"a12";#N/A,#N/A,FALSE,"a13";#N/A,#N/A,FALSE,"a14a";#N/A,#N/A,FALSE,"a14b";#N/A,#N/A,FALSE,"a15";#N/A,#N/A,FALSE,"a16"}</definedName>
    <definedName name="wrn.app_a." localSheetId="21" hidden="1">{#N/A,#N/A,FALSE,"toc";#N/A,#N/A,FALSE,"a1";#N/A,#N/A,FALSE,"a2";#N/A,#N/A,FALSE,"a3";#N/A,#N/A,FALSE,"a4";#N/A,#N/A,FALSE,"a5";#N/A,#N/A,FALSE,"a6";#N/A,#N/A,FALSE,"a7";#N/A,#N/A,FALSE,"a8";#N/A,#N/A,FALSE,"a9";#N/A,#N/A,FALSE,"a10";#N/A,#N/A,FALSE,"a11";#N/A,#N/A,FALSE,"a12";#N/A,#N/A,FALSE,"a13";#N/A,#N/A,FALSE,"a14a";#N/A,#N/A,FALSE,"a14b";#N/A,#N/A,FALSE,"a15";#N/A,#N/A,FALSE,"a16"}</definedName>
    <definedName name="wrn.app_a." localSheetId="20" hidden="1">{#N/A,#N/A,FALSE,"toc";#N/A,#N/A,FALSE,"a1";#N/A,#N/A,FALSE,"a2";#N/A,#N/A,FALSE,"a3";#N/A,#N/A,FALSE,"a4";#N/A,#N/A,FALSE,"a5";#N/A,#N/A,FALSE,"a6";#N/A,#N/A,FALSE,"a7";#N/A,#N/A,FALSE,"a8";#N/A,#N/A,FALSE,"a9";#N/A,#N/A,FALSE,"a10";#N/A,#N/A,FALSE,"a11";#N/A,#N/A,FALSE,"a12";#N/A,#N/A,FALSE,"a13";#N/A,#N/A,FALSE,"a14a";#N/A,#N/A,FALSE,"a14b";#N/A,#N/A,FALSE,"a15";#N/A,#N/A,FALSE,"a16"}</definedName>
    <definedName name="wrn.app_a." localSheetId="17" hidden="1">{#N/A,#N/A,FALSE,"toc";#N/A,#N/A,FALSE,"a1";#N/A,#N/A,FALSE,"a2";#N/A,#N/A,FALSE,"a3";#N/A,#N/A,FALSE,"a4";#N/A,#N/A,FALSE,"a5";#N/A,#N/A,FALSE,"a6";#N/A,#N/A,FALSE,"a7";#N/A,#N/A,FALSE,"a8";#N/A,#N/A,FALSE,"a9";#N/A,#N/A,FALSE,"a10";#N/A,#N/A,FALSE,"a11";#N/A,#N/A,FALSE,"a12";#N/A,#N/A,FALSE,"a13";#N/A,#N/A,FALSE,"a14a";#N/A,#N/A,FALSE,"a14b";#N/A,#N/A,FALSE,"a15";#N/A,#N/A,FALSE,"a16"}</definedName>
    <definedName name="wrn.app_a." localSheetId="18" hidden="1">{#N/A,#N/A,FALSE,"toc";#N/A,#N/A,FALSE,"a1";#N/A,#N/A,FALSE,"a2";#N/A,#N/A,FALSE,"a3";#N/A,#N/A,FALSE,"a4";#N/A,#N/A,FALSE,"a5";#N/A,#N/A,FALSE,"a6";#N/A,#N/A,FALSE,"a7";#N/A,#N/A,FALSE,"a8";#N/A,#N/A,FALSE,"a9";#N/A,#N/A,FALSE,"a10";#N/A,#N/A,FALSE,"a11";#N/A,#N/A,FALSE,"a12";#N/A,#N/A,FALSE,"a13";#N/A,#N/A,FALSE,"a14a";#N/A,#N/A,FALSE,"a14b";#N/A,#N/A,FALSE,"a15";#N/A,#N/A,FALSE,"a16"}</definedName>
    <definedName name="wrn.app_a." localSheetId="1" hidden="1">{#N/A,#N/A,FALSE,"toc";#N/A,#N/A,FALSE,"a1";#N/A,#N/A,FALSE,"a2";#N/A,#N/A,FALSE,"a3";#N/A,#N/A,FALSE,"a4";#N/A,#N/A,FALSE,"a5";#N/A,#N/A,FALSE,"a6";#N/A,#N/A,FALSE,"a7";#N/A,#N/A,FALSE,"a8";#N/A,#N/A,FALSE,"a9";#N/A,#N/A,FALSE,"a10";#N/A,#N/A,FALSE,"a11";#N/A,#N/A,FALSE,"a12";#N/A,#N/A,FALSE,"a13";#N/A,#N/A,FALSE,"a14a";#N/A,#N/A,FALSE,"a14b";#N/A,#N/A,FALSE,"a15";#N/A,#N/A,FALSE,"a16"}</definedName>
    <definedName name="wrn.app_a." localSheetId="19" hidden="1">{#N/A,#N/A,FALSE,"toc";#N/A,#N/A,FALSE,"a1";#N/A,#N/A,FALSE,"a2";#N/A,#N/A,FALSE,"a3";#N/A,#N/A,FALSE,"a4";#N/A,#N/A,FALSE,"a5";#N/A,#N/A,FALSE,"a6";#N/A,#N/A,FALSE,"a7";#N/A,#N/A,FALSE,"a8";#N/A,#N/A,FALSE,"a9";#N/A,#N/A,FALSE,"a10";#N/A,#N/A,FALSE,"a11";#N/A,#N/A,FALSE,"a12";#N/A,#N/A,FALSE,"a13";#N/A,#N/A,FALSE,"a14a";#N/A,#N/A,FALSE,"a14b";#N/A,#N/A,FALSE,"a15";#N/A,#N/A,FALSE,"a16"}</definedName>
    <definedName name="wrn.app_a." hidden="1">{#N/A,#N/A,FALSE,"toc";#N/A,#N/A,FALSE,"a1";#N/A,#N/A,FALSE,"a2";#N/A,#N/A,FALSE,"a3";#N/A,#N/A,FALSE,"a4";#N/A,#N/A,FALSE,"a5";#N/A,#N/A,FALSE,"a6";#N/A,#N/A,FALSE,"a7";#N/A,#N/A,FALSE,"a8";#N/A,#N/A,FALSE,"a9";#N/A,#N/A,FALSE,"a10";#N/A,#N/A,FALSE,"a11";#N/A,#N/A,FALSE,"a12";#N/A,#N/A,FALSE,"a13";#N/A,#N/A,FALSE,"a14a";#N/A,#N/A,FALSE,"a14b";#N/A,#N/A,FALSE,"a15";#N/A,#N/A,FALSE,"a16"}</definedName>
    <definedName name="wrn.AppendixA." localSheetId="13" hidden="1">{#N/A,#N/A,FALSE,"toc";#N/A,#N/A,FALSE,"a1";#N/A,#N/A,FALSE,"a2";#N/A,#N/A,FALSE,"a3";#N/A,#N/A,FALSE,"a4";#N/A,#N/A,FALSE,"a5";#N/A,#N/A,FALSE,"a6";#N/A,#N/A,FALSE,"a7";#N/A,#N/A,FALSE,"a8";#N/A,#N/A,FALSE,"a9";#N/A,#N/A,FALSE,"a10";#N/A,#N/A,FALSE,"a11";#N/A,#N/A,FALSE,"a12";#N/A,#N/A,FALSE,"a13";#N/A,#N/A,FALSE,"a14";#N/A,#N/A,FALSE,"a15";#N/A,#N/A,FALSE,"a16";#N/A,#N/A,FALSE,"a17";#N/A,#N/A,FALSE,"a18";#N/A,#N/A,FALSE,"a19";#N/A,#N/A,FALSE,"a20";#N/A,#N/A,FALSE,"a21";#N/A,#N/A,FALSE,"a22";#N/A,#N/A,FALSE,"a23";#N/A,#N/A,FALSE,"a24";#N/A,#N/A,FALSE,"a25"}</definedName>
    <definedName name="wrn.AppendixA." localSheetId="27" hidden="1">{#N/A,#N/A,FALSE,"toc";#N/A,#N/A,FALSE,"a1";#N/A,#N/A,FALSE,"a2";#N/A,#N/A,FALSE,"a3";#N/A,#N/A,FALSE,"a4";#N/A,#N/A,FALSE,"a5";#N/A,#N/A,FALSE,"a6";#N/A,#N/A,FALSE,"a7";#N/A,#N/A,FALSE,"a8";#N/A,#N/A,FALSE,"a9";#N/A,#N/A,FALSE,"a10";#N/A,#N/A,FALSE,"a11";#N/A,#N/A,FALSE,"a12";#N/A,#N/A,FALSE,"a13";#N/A,#N/A,FALSE,"a14";#N/A,#N/A,FALSE,"a15";#N/A,#N/A,FALSE,"a16";#N/A,#N/A,FALSE,"a17";#N/A,#N/A,FALSE,"a18";#N/A,#N/A,FALSE,"a19";#N/A,#N/A,FALSE,"a20";#N/A,#N/A,FALSE,"a21";#N/A,#N/A,FALSE,"a22";#N/A,#N/A,FALSE,"a23";#N/A,#N/A,FALSE,"a24";#N/A,#N/A,FALSE,"a25"}</definedName>
    <definedName name="wrn.AppendixA." localSheetId="6" hidden="1">{#N/A,#N/A,FALSE,"toc";#N/A,#N/A,FALSE,"a1";#N/A,#N/A,FALSE,"a2";#N/A,#N/A,FALSE,"a3";#N/A,#N/A,FALSE,"a4";#N/A,#N/A,FALSE,"a5";#N/A,#N/A,FALSE,"a6";#N/A,#N/A,FALSE,"a7";#N/A,#N/A,FALSE,"a8";#N/A,#N/A,FALSE,"a9";#N/A,#N/A,FALSE,"a10";#N/A,#N/A,FALSE,"a11";#N/A,#N/A,FALSE,"a12";#N/A,#N/A,FALSE,"a13";#N/A,#N/A,FALSE,"a14";#N/A,#N/A,FALSE,"a15";#N/A,#N/A,FALSE,"a16";#N/A,#N/A,FALSE,"a17";#N/A,#N/A,FALSE,"a18";#N/A,#N/A,FALSE,"a19";#N/A,#N/A,FALSE,"a20";#N/A,#N/A,FALSE,"a21";#N/A,#N/A,FALSE,"a22";#N/A,#N/A,FALSE,"a23";#N/A,#N/A,FALSE,"a24";#N/A,#N/A,FALSE,"a25"}</definedName>
    <definedName name="wrn.AppendixA." localSheetId="5" hidden="1">{#N/A,#N/A,FALSE,"toc";#N/A,#N/A,FALSE,"a1";#N/A,#N/A,FALSE,"a2";#N/A,#N/A,FALSE,"a3";#N/A,#N/A,FALSE,"a4";#N/A,#N/A,FALSE,"a5";#N/A,#N/A,FALSE,"a6";#N/A,#N/A,FALSE,"a7";#N/A,#N/A,FALSE,"a8";#N/A,#N/A,FALSE,"a9";#N/A,#N/A,FALSE,"a10";#N/A,#N/A,FALSE,"a11";#N/A,#N/A,FALSE,"a12";#N/A,#N/A,FALSE,"a13";#N/A,#N/A,FALSE,"a14";#N/A,#N/A,FALSE,"a15";#N/A,#N/A,FALSE,"a16";#N/A,#N/A,FALSE,"a17";#N/A,#N/A,FALSE,"a18";#N/A,#N/A,FALSE,"a19";#N/A,#N/A,FALSE,"a20";#N/A,#N/A,FALSE,"a21";#N/A,#N/A,FALSE,"a22";#N/A,#N/A,FALSE,"a23";#N/A,#N/A,FALSE,"a24";#N/A,#N/A,FALSE,"a25"}</definedName>
    <definedName name="wrn.AppendixA." localSheetId="14" hidden="1">{#N/A,#N/A,FALSE,"toc";#N/A,#N/A,FALSE,"a1";#N/A,#N/A,FALSE,"a2";#N/A,#N/A,FALSE,"a3";#N/A,#N/A,FALSE,"a4";#N/A,#N/A,FALSE,"a5";#N/A,#N/A,FALSE,"a6";#N/A,#N/A,FALSE,"a7";#N/A,#N/A,FALSE,"a8";#N/A,#N/A,FALSE,"a9";#N/A,#N/A,FALSE,"a10";#N/A,#N/A,FALSE,"a11";#N/A,#N/A,FALSE,"a12";#N/A,#N/A,FALSE,"a13";#N/A,#N/A,FALSE,"a14";#N/A,#N/A,FALSE,"a15";#N/A,#N/A,FALSE,"a16";#N/A,#N/A,FALSE,"a17";#N/A,#N/A,FALSE,"a18";#N/A,#N/A,FALSE,"a19";#N/A,#N/A,FALSE,"a20";#N/A,#N/A,FALSE,"a21";#N/A,#N/A,FALSE,"a22";#N/A,#N/A,FALSE,"a23";#N/A,#N/A,FALSE,"a24";#N/A,#N/A,FALSE,"a25"}</definedName>
    <definedName name="wrn.AppendixA." localSheetId="7" hidden="1">{#N/A,#N/A,FALSE,"toc";#N/A,#N/A,FALSE,"a1";#N/A,#N/A,FALSE,"a2";#N/A,#N/A,FALSE,"a3";#N/A,#N/A,FALSE,"a4";#N/A,#N/A,FALSE,"a5";#N/A,#N/A,FALSE,"a6";#N/A,#N/A,FALSE,"a7";#N/A,#N/A,FALSE,"a8";#N/A,#N/A,FALSE,"a9";#N/A,#N/A,FALSE,"a10";#N/A,#N/A,FALSE,"a11";#N/A,#N/A,FALSE,"a12";#N/A,#N/A,FALSE,"a13";#N/A,#N/A,FALSE,"a14";#N/A,#N/A,FALSE,"a15";#N/A,#N/A,FALSE,"a16";#N/A,#N/A,FALSE,"a17";#N/A,#N/A,FALSE,"a18";#N/A,#N/A,FALSE,"a19";#N/A,#N/A,FALSE,"a20";#N/A,#N/A,FALSE,"a21";#N/A,#N/A,FALSE,"a22";#N/A,#N/A,FALSE,"a23";#N/A,#N/A,FALSE,"a24";#N/A,#N/A,FALSE,"a25"}</definedName>
    <definedName name="wrn.AppendixA." localSheetId="21" hidden="1">{#N/A,#N/A,FALSE,"toc";#N/A,#N/A,FALSE,"a1";#N/A,#N/A,FALSE,"a2";#N/A,#N/A,FALSE,"a3";#N/A,#N/A,FALSE,"a4";#N/A,#N/A,FALSE,"a5";#N/A,#N/A,FALSE,"a6";#N/A,#N/A,FALSE,"a7";#N/A,#N/A,FALSE,"a8";#N/A,#N/A,FALSE,"a9";#N/A,#N/A,FALSE,"a10";#N/A,#N/A,FALSE,"a11";#N/A,#N/A,FALSE,"a12";#N/A,#N/A,FALSE,"a13";#N/A,#N/A,FALSE,"a14";#N/A,#N/A,FALSE,"a15";#N/A,#N/A,FALSE,"a16";#N/A,#N/A,FALSE,"a17";#N/A,#N/A,FALSE,"a18";#N/A,#N/A,FALSE,"a19";#N/A,#N/A,FALSE,"a20";#N/A,#N/A,FALSE,"a21";#N/A,#N/A,FALSE,"a22";#N/A,#N/A,FALSE,"a23";#N/A,#N/A,FALSE,"a24";#N/A,#N/A,FALSE,"a25"}</definedName>
    <definedName name="wrn.AppendixA." localSheetId="20" hidden="1">{#N/A,#N/A,FALSE,"toc";#N/A,#N/A,FALSE,"a1";#N/A,#N/A,FALSE,"a2";#N/A,#N/A,FALSE,"a3";#N/A,#N/A,FALSE,"a4";#N/A,#N/A,FALSE,"a5";#N/A,#N/A,FALSE,"a6";#N/A,#N/A,FALSE,"a7";#N/A,#N/A,FALSE,"a8";#N/A,#N/A,FALSE,"a9";#N/A,#N/A,FALSE,"a10";#N/A,#N/A,FALSE,"a11";#N/A,#N/A,FALSE,"a12";#N/A,#N/A,FALSE,"a13";#N/A,#N/A,FALSE,"a14";#N/A,#N/A,FALSE,"a15";#N/A,#N/A,FALSE,"a16";#N/A,#N/A,FALSE,"a17";#N/A,#N/A,FALSE,"a18";#N/A,#N/A,FALSE,"a19";#N/A,#N/A,FALSE,"a20";#N/A,#N/A,FALSE,"a21";#N/A,#N/A,FALSE,"a22";#N/A,#N/A,FALSE,"a23";#N/A,#N/A,FALSE,"a24";#N/A,#N/A,FALSE,"a25"}</definedName>
    <definedName name="wrn.AppendixA." localSheetId="17" hidden="1">{#N/A,#N/A,FALSE,"toc";#N/A,#N/A,FALSE,"a1";#N/A,#N/A,FALSE,"a2";#N/A,#N/A,FALSE,"a3";#N/A,#N/A,FALSE,"a4";#N/A,#N/A,FALSE,"a5";#N/A,#N/A,FALSE,"a6";#N/A,#N/A,FALSE,"a7";#N/A,#N/A,FALSE,"a8";#N/A,#N/A,FALSE,"a9";#N/A,#N/A,FALSE,"a10";#N/A,#N/A,FALSE,"a11";#N/A,#N/A,FALSE,"a12";#N/A,#N/A,FALSE,"a13";#N/A,#N/A,FALSE,"a14";#N/A,#N/A,FALSE,"a15";#N/A,#N/A,FALSE,"a16";#N/A,#N/A,FALSE,"a17";#N/A,#N/A,FALSE,"a18";#N/A,#N/A,FALSE,"a19";#N/A,#N/A,FALSE,"a20";#N/A,#N/A,FALSE,"a21";#N/A,#N/A,FALSE,"a22";#N/A,#N/A,FALSE,"a23";#N/A,#N/A,FALSE,"a24";#N/A,#N/A,FALSE,"a25"}</definedName>
    <definedName name="wrn.AppendixA." localSheetId="18" hidden="1">{#N/A,#N/A,FALSE,"toc";#N/A,#N/A,FALSE,"a1";#N/A,#N/A,FALSE,"a2";#N/A,#N/A,FALSE,"a3";#N/A,#N/A,FALSE,"a4";#N/A,#N/A,FALSE,"a5";#N/A,#N/A,FALSE,"a6";#N/A,#N/A,FALSE,"a7";#N/A,#N/A,FALSE,"a8";#N/A,#N/A,FALSE,"a9";#N/A,#N/A,FALSE,"a10";#N/A,#N/A,FALSE,"a11";#N/A,#N/A,FALSE,"a12";#N/A,#N/A,FALSE,"a13";#N/A,#N/A,FALSE,"a14";#N/A,#N/A,FALSE,"a15";#N/A,#N/A,FALSE,"a16";#N/A,#N/A,FALSE,"a17";#N/A,#N/A,FALSE,"a18";#N/A,#N/A,FALSE,"a19";#N/A,#N/A,FALSE,"a20";#N/A,#N/A,FALSE,"a21";#N/A,#N/A,FALSE,"a22";#N/A,#N/A,FALSE,"a23";#N/A,#N/A,FALSE,"a24";#N/A,#N/A,FALSE,"a25"}</definedName>
    <definedName name="wrn.AppendixA." localSheetId="1" hidden="1">{#N/A,#N/A,FALSE,"toc";#N/A,#N/A,FALSE,"a1";#N/A,#N/A,FALSE,"a2";#N/A,#N/A,FALSE,"a3";#N/A,#N/A,FALSE,"a4";#N/A,#N/A,FALSE,"a5";#N/A,#N/A,FALSE,"a6";#N/A,#N/A,FALSE,"a7";#N/A,#N/A,FALSE,"a8";#N/A,#N/A,FALSE,"a9";#N/A,#N/A,FALSE,"a10";#N/A,#N/A,FALSE,"a11";#N/A,#N/A,FALSE,"a12";#N/A,#N/A,FALSE,"a13";#N/A,#N/A,FALSE,"a14";#N/A,#N/A,FALSE,"a15";#N/A,#N/A,FALSE,"a16";#N/A,#N/A,FALSE,"a17";#N/A,#N/A,FALSE,"a18";#N/A,#N/A,FALSE,"a19";#N/A,#N/A,FALSE,"a20";#N/A,#N/A,FALSE,"a21";#N/A,#N/A,FALSE,"a22";#N/A,#N/A,FALSE,"a23";#N/A,#N/A,FALSE,"a24";#N/A,#N/A,FALSE,"a25"}</definedName>
    <definedName name="wrn.AppendixA." localSheetId="19" hidden="1">{#N/A,#N/A,FALSE,"toc";#N/A,#N/A,FALSE,"a1";#N/A,#N/A,FALSE,"a2";#N/A,#N/A,FALSE,"a3";#N/A,#N/A,FALSE,"a4";#N/A,#N/A,FALSE,"a5";#N/A,#N/A,FALSE,"a6";#N/A,#N/A,FALSE,"a7";#N/A,#N/A,FALSE,"a8";#N/A,#N/A,FALSE,"a9";#N/A,#N/A,FALSE,"a10";#N/A,#N/A,FALSE,"a11";#N/A,#N/A,FALSE,"a12";#N/A,#N/A,FALSE,"a13";#N/A,#N/A,FALSE,"a14";#N/A,#N/A,FALSE,"a15";#N/A,#N/A,FALSE,"a16";#N/A,#N/A,FALSE,"a17";#N/A,#N/A,FALSE,"a18";#N/A,#N/A,FALSE,"a19";#N/A,#N/A,FALSE,"a20";#N/A,#N/A,FALSE,"a21";#N/A,#N/A,FALSE,"a22";#N/A,#N/A,FALSE,"a23";#N/A,#N/A,FALSE,"a24";#N/A,#N/A,FALSE,"a25"}</definedName>
    <definedName name="wrn.AppendixA." hidden="1">{#N/A,#N/A,FALSE,"toc";#N/A,#N/A,FALSE,"a1";#N/A,#N/A,FALSE,"a2";#N/A,#N/A,FALSE,"a3";#N/A,#N/A,FALSE,"a4";#N/A,#N/A,FALSE,"a5";#N/A,#N/A,FALSE,"a6";#N/A,#N/A,FALSE,"a7";#N/A,#N/A,FALSE,"a8";#N/A,#N/A,FALSE,"a9";#N/A,#N/A,FALSE,"a10";#N/A,#N/A,FALSE,"a11";#N/A,#N/A,FALSE,"a12";#N/A,#N/A,FALSE,"a13";#N/A,#N/A,FALSE,"a14";#N/A,#N/A,FALSE,"a15";#N/A,#N/A,FALSE,"a16";#N/A,#N/A,FALSE,"a17";#N/A,#N/A,FALSE,"a18";#N/A,#N/A,FALSE,"a19";#N/A,#N/A,FALSE,"a20";#N/A,#N/A,FALSE,"a21";#N/A,#N/A,FALSE,"a22";#N/A,#N/A,FALSE,"a23";#N/A,#N/A,FALSE,"a24";#N/A,#N/A,FALSE,"a25"}</definedName>
    <definedName name="wrn.Budget98." localSheetId="13" hidden="1">{#N/A,#N/A,FALSE,"contents";#N/A,#N/A,FALSE,"general";#N/A,#N/A,FALSE,"auswertung";#N/A,#N/A,FALSE,"roic_free_cf";#N/A,#N/A,FALSE,"order_intake_own_europe";#N/A,#N/A,FALSE,"order_intake_europe";#N/A,#N/A,FALSE,"sales_own_europe";#N/A,#N/A,FALSE,"order_intake_oversea";#N/A,#N/A,FALSE,"sales_own_oversea";#N/A,#N/A,FALSE,"financial_status";#N/A,#N/A,FALSE,"Investments";#N/A,#N/A,FALSE,"objektives";#N/A,#N/A,FALSE,"cash_flow_budget";#N/A,#N/A,FALSE,"profit-statement"}</definedName>
    <definedName name="wrn.Budget98." localSheetId="27" hidden="1">{#N/A,#N/A,FALSE,"contents";#N/A,#N/A,FALSE,"general";#N/A,#N/A,FALSE,"auswertung";#N/A,#N/A,FALSE,"roic_free_cf";#N/A,#N/A,FALSE,"order_intake_own_europe";#N/A,#N/A,FALSE,"order_intake_europe";#N/A,#N/A,FALSE,"sales_own_europe";#N/A,#N/A,FALSE,"order_intake_oversea";#N/A,#N/A,FALSE,"sales_own_oversea";#N/A,#N/A,FALSE,"financial_status";#N/A,#N/A,FALSE,"Investments";#N/A,#N/A,FALSE,"objektives";#N/A,#N/A,FALSE,"cash_flow_budget";#N/A,#N/A,FALSE,"profit-statement"}</definedName>
    <definedName name="wrn.Budget98." localSheetId="6" hidden="1">{#N/A,#N/A,FALSE,"contents";#N/A,#N/A,FALSE,"general";#N/A,#N/A,FALSE,"auswertung";#N/A,#N/A,FALSE,"roic_free_cf";#N/A,#N/A,FALSE,"order_intake_own_europe";#N/A,#N/A,FALSE,"order_intake_europe";#N/A,#N/A,FALSE,"sales_own_europe";#N/A,#N/A,FALSE,"order_intake_oversea";#N/A,#N/A,FALSE,"sales_own_oversea";#N/A,#N/A,FALSE,"financial_status";#N/A,#N/A,FALSE,"Investments";#N/A,#N/A,FALSE,"objektives";#N/A,#N/A,FALSE,"cash_flow_budget";#N/A,#N/A,FALSE,"profit-statement"}</definedName>
    <definedName name="wrn.Budget98." localSheetId="5" hidden="1">{#N/A,#N/A,FALSE,"contents";#N/A,#N/A,FALSE,"general";#N/A,#N/A,FALSE,"auswertung";#N/A,#N/A,FALSE,"roic_free_cf";#N/A,#N/A,FALSE,"order_intake_own_europe";#N/A,#N/A,FALSE,"order_intake_europe";#N/A,#N/A,FALSE,"sales_own_europe";#N/A,#N/A,FALSE,"order_intake_oversea";#N/A,#N/A,FALSE,"sales_own_oversea";#N/A,#N/A,FALSE,"financial_status";#N/A,#N/A,FALSE,"Investments";#N/A,#N/A,FALSE,"objektives";#N/A,#N/A,FALSE,"cash_flow_budget";#N/A,#N/A,FALSE,"profit-statement"}</definedName>
    <definedName name="wrn.Budget98." localSheetId="14" hidden="1">{#N/A,#N/A,FALSE,"contents";#N/A,#N/A,FALSE,"general";#N/A,#N/A,FALSE,"auswertung";#N/A,#N/A,FALSE,"roic_free_cf";#N/A,#N/A,FALSE,"order_intake_own_europe";#N/A,#N/A,FALSE,"order_intake_europe";#N/A,#N/A,FALSE,"sales_own_europe";#N/A,#N/A,FALSE,"order_intake_oversea";#N/A,#N/A,FALSE,"sales_own_oversea";#N/A,#N/A,FALSE,"financial_status";#N/A,#N/A,FALSE,"Investments";#N/A,#N/A,FALSE,"objektives";#N/A,#N/A,FALSE,"cash_flow_budget";#N/A,#N/A,FALSE,"profit-statement"}</definedName>
    <definedName name="wrn.Budget98." localSheetId="7" hidden="1">{#N/A,#N/A,FALSE,"contents";#N/A,#N/A,FALSE,"general";#N/A,#N/A,FALSE,"auswertung";#N/A,#N/A,FALSE,"roic_free_cf";#N/A,#N/A,FALSE,"order_intake_own_europe";#N/A,#N/A,FALSE,"order_intake_europe";#N/A,#N/A,FALSE,"sales_own_europe";#N/A,#N/A,FALSE,"order_intake_oversea";#N/A,#N/A,FALSE,"sales_own_oversea";#N/A,#N/A,FALSE,"financial_status";#N/A,#N/A,FALSE,"Investments";#N/A,#N/A,FALSE,"objektives";#N/A,#N/A,FALSE,"cash_flow_budget";#N/A,#N/A,FALSE,"profit-statement"}</definedName>
    <definedName name="wrn.Budget98." localSheetId="21" hidden="1">{#N/A,#N/A,FALSE,"contents";#N/A,#N/A,FALSE,"general";#N/A,#N/A,FALSE,"auswertung";#N/A,#N/A,FALSE,"roic_free_cf";#N/A,#N/A,FALSE,"order_intake_own_europe";#N/A,#N/A,FALSE,"order_intake_europe";#N/A,#N/A,FALSE,"sales_own_europe";#N/A,#N/A,FALSE,"order_intake_oversea";#N/A,#N/A,FALSE,"sales_own_oversea";#N/A,#N/A,FALSE,"financial_status";#N/A,#N/A,FALSE,"Investments";#N/A,#N/A,FALSE,"objektives";#N/A,#N/A,FALSE,"cash_flow_budget";#N/A,#N/A,FALSE,"profit-statement"}</definedName>
    <definedName name="wrn.Budget98." localSheetId="20" hidden="1">{#N/A,#N/A,FALSE,"contents";#N/A,#N/A,FALSE,"general";#N/A,#N/A,FALSE,"auswertung";#N/A,#N/A,FALSE,"roic_free_cf";#N/A,#N/A,FALSE,"order_intake_own_europe";#N/A,#N/A,FALSE,"order_intake_europe";#N/A,#N/A,FALSE,"sales_own_europe";#N/A,#N/A,FALSE,"order_intake_oversea";#N/A,#N/A,FALSE,"sales_own_oversea";#N/A,#N/A,FALSE,"financial_status";#N/A,#N/A,FALSE,"Investments";#N/A,#N/A,FALSE,"objektives";#N/A,#N/A,FALSE,"cash_flow_budget";#N/A,#N/A,FALSE,"profit-statement"}</definedName>
    <definedName name="wrn.Budget98." localSheetId="17" hidden="1">{#N/A,#N/A,FALSE,"contents";#N/A,#N/A,FALSE,"general";#N/A,#N/A,FALSE,"auswertung";#N/A,#N/A,FALSE,"roic_free_cf";#N/A,#N/A,FALSE,"order_intake_own_europe";#N/A,#N/A,FALSE,"order_intake_europe";#N/A,#N/A,FALSE,"sales_own_europe";#N/A,#N/A,FALSE,"order_intake_oversea";#N/A,#N/A,FALSE,"sales_own_oversea";#N/A,#N/A,FALSE,"financial_status";#N/A,#N/A,FALSE,"Investments";#N/A,#N/A,FALSE,"objektives";#N/A,#N/A,FALSE,"cash_flow_budget";#N/A,#N/A,FALSE,"profit-statement"}</definedName>
    <definedName name="wrn.Budget98." localSheetId="18" hidden="1">{#N/A,#N/A,FALSE,"contents";#N/A,#N/A,FALSE,"general";#N/A,#N/A,FALSE,"auswertung";#N/A,#N/A,FALSE,"roic_free_cf";#N/A,#N/A,FALSE,"order_intake_own_europe";#N/A,#N/A,FALSE,"order_intake_europe";#N/A,#N/A,FALSE,"sales_own_europe";#N/A,#N/A,FALSE,"order_intake_oversea";#N/A,#N/A,FALSE,"sales_own_oversea";#N/A,#N/A,FALSE,"financial_status";#N/A,#N/A,FALSE,"Investments";#N/A,#N/A,FALSE,"objektives";#N/A,#N/A,FALSE,"cash_flow_budget";#N/A,#N/A,FALSE,"profit-statement"}</definedName>
    <definedName name="wrn.Budget98." localSheetId="1" hidden="1">{#N/A,#N/A,FALSE,"contents";#N/A,#N/A,FALSE,"general";#N/A,#N/A,FALSE,"auswertung";#N/A,#N/A,FALSE,"roic_free_cf";#N/A,#N/A,FALSE,"order_intake_own_europe";#N/A,#N/A,FALSE,"order_intake_europe";#N/A,#N/A,FALSE,"sales_own_europe";#N/A,#N/A,FALSE,"order_intake_oversea";#N/A,#N/A,FALSE,"sales_own_oversea";#N/A,#N/A,FALSE,"financial_status";#N/A,#N/A,FALSE,"Investments";#N/A,#N/A,FALSE,"objektives";#N/A,#N/A,FALSE,"cash_flow_budget";#N/A,#N/A,FALSE,"profit-statement"}</definedName>
    <definedName name="wrn.Budget98." localSheetId="19" hidden="1">{#N/A,#N/A,FALSE,"contents";#N/A,#N/A,FALSE,"general";#N/A,#N/A,FALSE,"auswertung";#N/A,#N/A,FALSE,"roic_free_cf";#N/A,#N/A,FALSE,"order_intake_own_europe";#N/A,#N/A,FALSE,"order_intake_europe";#N/A,#N/A,FALSE,"sales_own_europe";#N/A,#N/A,FALSE,"order_intake_oversea";#N/A,#N/A,FALSE,"sales_own_oversea";#N/A,#N/A,FALSE,"financial_status";#N/A,#N/A,FALSE,"Investments";#N/A,#N/A,FALSE,"objektives";#N/A,#N/A,FALSE,"cash_flow_budget";#N/A,#N/A,FALSE,"profit-statement"}</definedName>
    <definedName name="wrn.Budget98." hidden="1">{#N/A,#N/A,FALSE,"contents";#N/A,#N/A,FALSE,"general";#N/A,#N/A,FALSE,"auswertung";#N/A,#N/A,FALSE,"roic_free_cf";#N/A,#N/A,FALSE,"order_intake_own_europe";#N/A,#N/A,FALSE,"order_intake_europe";#N/A,#N/A,FALSE,"sales_own_europe";#N/A,#N/A,FALSE,"order_intake_oversea";#N/A,#N/A,FALSE,"sales_own_oversea";#N/A,#N/A,FALSE,"financial_status";#N/A,#N/A,FALSE,"Investments";#N/A,#N/A,FALSE,"objektives";#N/A,#N/A,FALSE,"cash_flow_budget";#N/A,#N/A,FALSE,"profit-statement"}</definedName>
    <definedName name="wrn.MF2001." localSheetId="13" hidden="1">{#N/A,#N/A,FALSE,"opportunities_risks";#N/A,#N/A,FALSE,"Comment";#N/A,#N/A,FALSE,"divisional_profit";#N/A,#N/A,FALSE,"Investments";#N/A,#N/A,FALSE,"financial status";#N/A,#N/A,FALSE,"order_intake_europe";#N/A,#N/A,FALSE,"sales_own+order_intake";#N/A,#N/A,FALSE,"roic_free_cf";#N/A,#N/A,FALSE,"General";#N/A,#N/A,FALSE,"contents"}</definedName>
    <definedName name="wrn.MF2001." localSheetId="27" hidden="1">{#N/A,#N/A,FALSE,"opportunities_risks";#N/A,#N/A,FALSE,"Comment";#N/A,#N/A,FALSE,"divisional_profit";#N/A,#N/A,FALSE,"Investments";#N/A,#N/A,FALSE,"financial status";#N/A,#N/A,FALSE,"order_intake_europe";#N/A,#N/A,FALSE,"sales_own+order_intake";#N/A,#N/A,FALSE,"roic_free_cf";#N/A,#N/A,FALSE,"General";#N/A,#N/A,FALSE,"contents"}</definedName>
    <definedName name="wrn.MF2001." localSheetId="6" hidden="1">{#N/A,#N/A,FALSE,"opportunities_risks";#N/A,#N/A,FALSE,"Comment";#N/A,#N/A,FALSE,"divisional_profit";#N/A,#N/A,FALSE,"Investments";#N/A,#N/A,FALSE,"financial status";#N/A,#N/A,FALSE,"order_intake_europe";#N/A,#N/A,FALSE,"sales_own+order_intake";#N/A,#N/A,FALSE,"roic_free_cf";#N/A,#N/A,FALSE,"General";#N/A,#N/A,FALSE,"contents"}</definedName>
    <definedName name="wrn.MF2001." localSheetId="5" hidden="1">{#N/A,#N/A,FALSE,"opportunities_risks";#N/A,#N/A,FALSE,"Comment";#N/A,#N/A,FALSE,"divisional_profit";#N/A,#N/A,FALSE,"Investments";#N/A,#N/A,FALSE,"financial status";#N/A,#N/A,FALSE,"order_intake_europe";#N/A,#N/A,FALSE,"sales_own+order_intake";#N/A,#N/A,FALSE,"roic_free_cf";#N/A,#N/A,FALSE,"General";#N/A,#N/A,FALSE,"contents"}</definedName>
    <definedName name="wrn.MF2001." localSheetId="14" hidden="1">{#N/A,#N/A,FALSE,"opportunities_risks";#N/A,#N/A,FALSE,"Comment";#N/A,#N/A,FALSE,"divisional_profit";#N/A,#N/A,FALSE,"Investments";#N/A,#N/A,FALSE,"financial status";#N/A,#N/A,FALSE,"order_intake_europe";#N/A,#N/A,FALSE,"sales_own+order_intake";#N/A,#N/A,FALSE,"roic_free_cf";#N/A,#N/A,FALSE,"General";#N/A,#N/A,FALSE,"contents"}</definedName>
    <definedName name="wrn.MF2001." localSheetId="7" hidden="1">{#N/A,#N/A,FALSE,"opportunities_risks";#N/A,#N/A,FALSE,"Comment";#N/A,#N/A,FALSE,"divisional_profit";#N/A,#N/A,FALSE,"Investments";#N/A,#N/A,FALSE,"financial status";#N/A,#N/A,FALSE,"order_intake_europe";#N/A,#N/A,FALSE,"sales_own+order_intake";#N/A,#N/A,FALSE,"roic_free_cf";#N/A,#N/A,FALSE,"General";#N/A,#N/A,FALSE,"contents"}</definedName>
    <definedName name="wrn.MF2001." localSheetId="21" hidden="1">{#N/A,#N/A,FALSE,"opportunities_risks";#N/A,#N/A,FALSE,"Comment";#N/A,#N/A,FALSE,"divisional_profit";#N/A,#N/A,FALSE,"Investments";#N/A,#N/A,FALSE,"financial status";#N/A,#N/A,FALSE,"order_intake_europe";#N/A,#N/A,FALSE,"sales_own+order_intake";#N/A,#N/A,FALSE,"roic_free_cf";#N/A,#N/A,FALSE,"General";#N/A,#N/A,FALSE,"contents"}</definedName>
    <definedName name="wrn.MF2001." localSheetId="20" hidden="1">{#N/A,#N/A,FALSE,"opportunities_risks";#N/A,#N/A,FALSE,"Comment";#N/A,#N/A,FALSE,"divisional_profit";#N/A,#N/A,FALSE,"Investments";#N/A,#N/A,FALSE,"financial status";#N/A,#N/A,FALSE,"order_intake_europe";#N/A,#N/A,FALSE,"sales_own+order_intake";#N/A,#N/A,FALSE,"roic_free_cf";#N/A,#N/A,FALSE,"General";#N/A,#N/A,FALSE,"contents"}</definedName>
    <definedName name="wrn.MF2001." localSheetId="17" hidden="1">{#N/A,#N/A,FALSE,"opportunities_risks";#N/A,#N/A,FALSE,"Comment";#N/A,#N/A,FALSE,"divisional_profit";#N/A,#N/A,FALSE,"Investments";#N/A,#N/A,FALSE,"financial status";#N/A,#N/A,FALSE,"order_intake_europe";#N/A,#N/A,FALSE,"sales_own+order_intake";#N/A,#N/A,FALSE,"roic_free_cf";#N/A,#N/A,FALSE,"General";#N/A,#N/A,FALSE,"contents"}</definedName>
    <definedName name="wrn.MF2001." localSheetId="18" hidden="1">{#N/A,#N/A,FALSE,"opportunities_risks";#N/A,#N/A,FALSE,"Comment";#N/A,#N/A,FALSE,"divisional_profit";#N/A,#N/A,FALSE,"Investments";#N/A,#N/A,FALSE,"financial status";#N/A,#N/A,FALSE,"order_intake_europe";#N/A,#N/A,FALSE,"sales_own+order_intake";#N/A,#N/A,FALSE,"roic_free_cf";#N/A,#N/A,FALSE,"General";#N/A,#N/A,FALSE,"contents"}</definedName>
    <definedName name="wrn.MF2001." localSheetId="1" hidden="1">{#N/A,#N/A,FALSE,"opportunities_risks";#N/A,#N/A,FALSE,"Comment";#N/A,#N/A,FALSE,"divisional_profit";#N/A,#N/A,FALSE,"Investments";#N/A,#N/A,FALSE,"financial status";#N/A,#N/A,FALSE,"order_intake_europe";#N/A,#N/A,FALSE,"sales_own+order_intake";#N/A,#N/A,FALSE,"roic_free_cf";#N/A,#N/A,FALSE,"General";#N/A,#N/A,FALSE,"contents"}</definedName>
    <definedName name="wrn.MF2001." localSheetId="19" hidden="1">{#N/A,#N/A,FALSE,"opportunities_risks";#N/A,#N/A,FALSE,"Comment";#N/A,#N/A,FALSE,"divisional_profit";#N/A,#N/A,FALSE,"Investments";#N/A,#N/A,FALSE,"financial status";#N/A,#N/A,FALSE,"order_intake_europe";#N/A,#N/A,FALSE,"sales_own+order_intake";#N/A,#N/A,FALSE,"roic_free_cf";#N/A,#N/A,FALSE,"General";#N/A,#N/A,FALSE,"contents"}</definedName>
    <definedName name="wrn.MF2001." hidden="1">{#N/A,#N/A,FALSE,"opportunities_risks";#N/A,#N/A,FALSE,"Comment";#N/A,#N/A,FALSE,"divisional_profit";#N/A,#N/A,FALSE,"Investments";#N/A,#N/A,FALSE,"financial status";#N/A,#N/A,FALSE,"order_intake_europe";#N/A,#N/A,FALSE,"sales_own+order_intake";#N/A,#N/A,FALSE,"roic_free_cf";#N/A,#N/A,FALSE,"General";#N/A,#N/A,FALSE,"contents"}</definedName>
    <definedName name="wrn.SBEI." localSheetId="13" hidden="1">{#N/A,#N/A,TRUE,"Table1";#N/A,#N/A,TRUE,"Table2";#N/A,#N/A,TRUE,"Table3";#N/A,#N/A,TRUE,"Table4";#N/A,#N/A,TRUE,"Table5";#N/A,#N/A,TRUE,"Table6";#N/A,#N/A,TRUE,"Table7";#N/A,#N/A,TRUE,"Table8";#N/A,#N/A,TRUE,"Table9";#N/A,#N/A,TRUE,"Table10";#N/A,#N/A,TRUE,"Table11";#N/A,#N/A,TRUE,"Table12";#N/A,#N/A,TRUE,"Table13";#N/A,#N/A,TRUE,"Table14"}</definedName>
    <definedName name="wrn.SBEI." localSheetId="27" hidden="1">{#N/A,#N/A,TRUE,"Table1";#N/A,#N/A,TRUE,"Table2";#N/A,#N/A,TRUE,"Table3";#N/A,#N/A,TRUE,"Table4";#N/A,#N/A,TRUE,"Table5";#N/A,#N/A,TRUE,"Table6";#N/A,#N/A,TRUE,"Table7";#N/A,#N/A,TRUE,"Table8";#N/A,#N/A,TRUE,"Table9";#N/A,#N/A,TRUE,"Table10";#N/A,#N/A,TRUE,"Table11";#N/A,#N/A,TRUE,"Table12";#N/A,#N/A,TRUE,"Table13";#N/A,#N/A,TRUE,"Table14"}</definedName>
    <definedName name="wrn.SBEI." localSheetId="6" hidden="1">{#N/A,#N/A,TRUE,"Table1";#N/A,#N/A,TRUE,"Table2";#N/A,#N/A,TRUE,"Table3";#N/A,#N/A,TRUE,"Table4";#N/A,#N/A,TRUE,"Table5";#N/A,#N/A,TRUE,"Table6";#N/A,#N/A,TRUE,"Table7";#N/A,#N/A,TRUE,"Table8";#N/A,#N/A,TRUE,"Table9";#N/A,#N/A,TRUE,"Table10";#N/A,#N/A,TRUE,"Table11";#N/A,#N/A,TRUE,"Table12";#N/A,#N/A,TRUE,"Table13";#N/A,#N/A,TRUE,"Table14"}</definedName>
    <definedName name="wrn.SBEI." localSheetId="5" hidden="1">{#N/A,#N/A,TRUE,"Table1";#N/A,#N/A,TRUE,"Table2";#N/A,#N/A,TRUE,"Table3";#N/A,#N/A,TRUE,"Table4";#N/A,#N/A,TRUE,"Table5";#N/A,#N/A,TRUE,"Table6";#N/A,#N/A,TRUE,"Table7";#N/A,#N/A,TRUE,"Table8";#N/A,#N/A,TRUE,"Table9";#N/A,#N/A,TRUE,"Table10";#N/A,#N/A,TRUE,"Table11";#N/A,#N/A,TRUE,"Table12";#N/A,#N/A,TRUE,"Table13";#N/A,#N/A,TRUE,"Table14"}</definedName>
    <definedName name="wrn.SBEI." localSheetId="14" hidden="1">{#N/A,#N/A,TRUE,"Table1";#N/A,#N/A,TRUE,"Table2";#N/A,#N/A,TRUE,"Table3";#N/A,#N/A,TRUE,"Table4";#N/A,#N/A,TRUE,"Table5";#N/A,#N/A,TRUE,"Table6";#N/A,#N/A,TRUE,"Table7";#N/A,#N/A,TRUE,"Table8";#N/A,#N/A,TRUE,"Table9";#N/A,#N/A,TRUE,"Table10";#N/A,#N/A,TRUE,"Table11";#N/A,#N/A,TRUE,"Table12";#N/A,#N/A,TRUE,"Table13";#N/A,#N/A,TRUE,"Table14"}</definedName>
    <definedName name="wrn.SBEI." localSheetId="7" hidden="1">{#N/A,#N/A,TRUE,"Table1";#N/A,#N/A,TRUE,"Table2";#N/A,#N/A,TRUE,"Table3";#N/A,#N/A,TRUE,"Table4";#N/A,#N/A,TRUE,"Table5";#N/A,#N/A,TRUE,"Table6";#N/A,#N/A,TRUE,"Table7";#N/A,#N/A,TRUE,"Table8";#N/A,#N/A,TRUE,"Table9";#N/A,#N/A,TRUE,"Table10";#N/A,#N/A,TRUE,"Table11";#N/A,#N/A,TRUE,"Table12";#N/A,#N/A,TRUE,"Table13";#N/A,#N/A,TRUE,"Table14"}</definedName>
    <definedName name="wrn.SBEI." localSheetId="21" hidden="1">{#N/A,#N/A,TRUE,"Table1";#N/A,#N/A,TRUE,"Table2";#N/A,#N/A,TRUE,"Table3";#N/A,#N/A,TRUE,"Table4";#N/A,#N/A,TRUE,"Table5";#N/A,#N/A,TRUE,"Table6";#N/A,#N/A,TRUE,"Table7";#N/A,#N/A,TRUE,"Table8";#N/A,#N/A,TRUE,"Table9";#N/A,#N/A,TRUE,"Table10";#N/A,#N/A,TRUE,"Table11";#N/A,#N/A,TRUE,"Table12";#N/A,#N/A,TRUE,"Table13";#N/A,#N/A,TRUE,"Table14"}</definedName>
    <definedName name="wrn.SBEI." localSheetId="20" hidden="1">{#N/A,#N/A,TRUE,"Table1";#N/A,#N/A,TRUE,"Table2";#N/A,#N/A,TRUE,"Table3";#N/A,#N/A,TRUE,"Table4";#N/A,#N/A,TRUE,"Table5";#N/A,#N/A,TRUE,"Table6";#N/A,#N/A,TRUE,"Table7";#N/A,#N/A,TRUE,"Table8";#N/A,#N/A,TRUE,"Table9";#N/A,#N/A,TRUE,"Table10";#N/A,#N/A,TRUE,"Table11";#N/A,#N/A,TRUE,"Table12";#N/A,#N/A,TRUE,"Table13";#N/A,#N/A,TRUE,"Table14"}</definedName>
    <definedName name="wrn.SBEI." localSheetId="17" hidden="1">{#N/A,#N/A,TRUE,"Table1";#N/A,#N/A,TRUE,"Table2";#N/A,#N/A,TRUE,"Table3";#N/A,#N/A,TRUE,"Table4";#N/A,#N/A,TRUE,"Table5";#N/A,#N/A,TRUE,"Table6";#N/A,#N/A,TRUE,"Table7";#N/A,#N/A,TRUE,"Table8";#N/A,#N/A,TRUE,"Table9";#N/A,#N/A,TRUE,"Table10";#N/A,#N/A,TRUE,"Table11";#N/A,#N/A,TRUE,"Table12";#N/A,#N/A,TRUE,"Table13";#N/A,#N/A,TRUE,"Table14"}</definedName>
    <definedName name="wrn.SBEI." localSheetId="18" hidden="1">{#N/A,#N/A,TRUE,"Table1";#N/A,#N/A,TRUE,"Table2";#N/A,#N/A,TRUE,"Table3";#N/A,#N/A,TRUE,"Table4";#N/A,#N/A,TRUE,"Table5";#N/A,#N/A,TRUE,"Table6";#N/A,#N/A,TRUE,"Table7";#N/A,#N/A,TRUE,"Table8";#N/A,#N/A,TRUE,"Table9";#N/A,#N/A,TRUE,"Table10";#N/A,#N/A,TRUE,"Table11";#N/A,#N/A,TRUE,"Table12";#N/A,#N/A,TRUE,"Table13";#N/A,#N/A,TRUE,"Table14"}</definedName>
    <definedName name="wrn.SBEI." localSheetId="1" hidden="1">{#N/A,#N/A,TRUE,"Table1";#N/A,#N/A,TRUE,"Table2";#N/A,#N/A,TRUE,"Table3";#N/A,#N/A,TRUE,"Table4";#N/A,#N/A,TRUE,"Table5";#N/A,#N/A,TRUE,"Table6";#N/A,#N/A,TRUE,"Table7";#N/A,#N/A,TRUE,"Table8";#N/A,#N/A,TRUE,"Table9";#N/A,#N/A,TRUE,"Table10";#N/A,#N/A,TRUE,"Table11";#N/A,#N/A,TRUE,"Table12";#N/A,#N/A,TRUE,"Table13";#N/A,#N/A,TRUE,"Table14"}</definedName>
    <definedName name="wrn.SBEI." localSheetId="19" hidden="1">{#N/A,#N/A,TRUE,"Table1";#N/A,#N/A,TRUE,"Table2";#N/A,#N/A,TRUE,"Table3";#N/A,#N/A,TRUE,"Table4";#N/A,#N/A,TRUE,"Table5";#N/A,#N/A,TRUE,"Table6";#N/A,#N/A,TRUE,"Table7";#N/A,#N/A,TRUE,"Table8";#N/A,#N/A,TRUE,"Table9";#N/A,#N/A,TRUE,"Table10";#N/A,#N/A,TRUE,"Table11";#N/A,#N/A,TRUE,"Table12";#N/A,#N/A,TRUE,"Table13";#N/A,#N/A,TRUE,"Table14"}</definedName>
    <definedName name="wrn.SBEI." hidden="1">{#N/A,#N/A,TRUE,"Table1";#N/A,#N/A,TRUE,"Table2";#N/A,#N/A,TRUE,"Table3";#N/A,#N/A,TRUE,"Table4";#N/A,#N/A,TRUE,"Table5";#N/A,#N/A,TRUE,"Table6";#N/A,#N/A,TRUE,"Table7";#N/A,#N/A,TRUE,"Table8";#N/A,#N/A,TRUE,"Table9";#N/A,#N/A,TRUE,"Table10";#N/A,#N/A,TRUE,"Table11";#N/A,#N/A,TRUE,"Table12";#N/A,#N/A,TRUE,"Table13";#N/A,#N/A,TRUE,"Table14"}</definedName>
    <definedName name="wrn.Sm_Bus_Char." localSheetId="13" hidden="1">{#N/A,#N/A,TRUE,"Self_Emp_inv";#N/A,#N/A,TRUE,"Self_Emp_bus";#N/A,#N/A,TRUE,"Employees";#N/A,#N/A,TRUE,"Empl_Char";#N/A,#N/A,TRUE,"Empl_Age";#N/A,#N/A,TRUE,"Empl_Educ";#N/A,#N/A,TRUE,"Empl_Loc";#N/A,#N/A,TRUE,"Empl_Fin_Asst";#N/A,#N/A,TRUE,"Empl_Pens";#N/A,#N/A,TRUE,"Empl_Health"}</definedName>
    <definedName name="wrn.Sm_Bus_Char." localSheetId="27" hidden="1">{#N/A,#N/A,TRUE,"Self_Emp_inv";#N/A,#N/A,TRUE,"Self_Emp_bus";#N/A,#N/A,TRUE,"Employees";#N/A,#N/A,TRUE,"Empl_Char";#N/A,#N/A,TRUE,"Empl_Age";#N/A,#N/A,TRUE,"Empl_Educ";#N/A,#N/A,TRUE,"Empl_Loc";#N/A,#N/A,TRUE,"Empl_Fin_Asst";#N/A,#N/A,TRUE,"Empl_Pens";#N/A,#N/A,TRUE,"Empl_Health"}</definedName>
    <definedName name="wrn.Sm_Bus_Char." localSheetId="6" hidden="1">{#N/A,#N/A,TRUE,"Self_Emp_inv";#N/A,#N/A,TRUE,"Self_Emp_bus";#N/A,#N/A,TRUE,"Employees";#N/A,#N/A,TRUE,"Empl_Char";#N/A,#N/A,TRUE,"Empl_Age";#N/A,#N/A,TRUE,"Empl_Educ";#N/A,#N/A,TRUE,"Empl_Loc";#N/A,#N/A,TRUE,"Empl_Fin_Asst";#N/A,#N/A,TRUE,"Empl_Pens";#N/A,#N/A,TRUE,"Empl_Health"}</definedName>
    <definedName name="wrn.Sm_Bus_Char." localSheetId="5" hidden="1">{#N/A,#N/A,TRUE,"Self_Emp_inv";#N/A,#N/A,TRUE,"Self_Emp_bus";#N/A,#N/A,TRUE,"Employees";#N/A,#N/A,TRUE,"Empl_Char";#N/A,#N/A,TRUE,"Empl_Age";#N/A,#N/A,TRUE,"Empl_Educ";#N/A,#N/A,TRUE,"Empl_Loc";#N/A,#N/A,TRUE,"Empl_Fin_Asst";#N/A,#N/A,TRUE,"Empl_Pens";#N/A,#N/A,TRUE,"Empl_Health"}</definedName>
    <definedName name="wrn.Sm_Bus_Char." localSheetId="14" hidden="1">{#N/A,#N/A,TRUE,"Self_Emp_inv";#N/A,#N/A,TRUE,"Self_Emp_bus";#N/A,#N/A,TRUE,"Employees";#N/A,#N/A,TRUE,"Empl_Char";#N/A,#N/A,TRUE,"Empl_Age";#N/A,#N/A,TRUE,"Empl_Educ";#N/A,#N/A,TRUE,"Empl_Loc";#N/A,#N/A,TRUE,"Empl_Fin_Asst";#N/A,#N/A,TRUE,"Empl_Pens";#N/A,#N/A,TRUE,"Empl_Health"}</definedName>
    <definedName name="wrn.Sm_Bus_Char." localSheetId="7" hidden="1">{#N/A,#N/A,TRUE,"Self_Emp_inv";#N/A,#N/A,TRUE,"Self_Emp_bus";#N/A,#N/A,TRUE,"Employees";#N/A,#N/A,TRUE,"Empl_Char";#N/A,#N/A,TRUE,"Empl_Age";#N/A,#N/A,TRUE,"Empl_Educ";#N/A,#N/A,TRUE,"Empl_Loc";#N/A,#N/A,TRUE,"Empl_Fin_Asst";#N/A,#N/A,TRUE,"Empl_Pens";#N/A,#N/A,TRUE,"Empl_Health"}</definedName>
    <definedName name="wrn.Sm_Bus_Char." localSheetId="21" hidden="1">{#N/A,#N/A,TRUE,"Self_Emp_inv";#N/A,#N/A,TRUE,"Self_Emp_bus";#N/A,#N/A,TRUE,"Employees";#N/A,#N/A,TRUE,"Empl_Char";#N/A,#N/A,TRUE,"Empl_Age";#N/A,#N/A,TRUE,"Empl_Educ";#N/A,#N/A,TRUE,"Empl_Loc";#N/A,#N/A,TRUE,"Empl_Fin_Asst";#N/A,#N/A,TRUE,"Empl_Pens";#N/A,#N/A,TRUE,"Empl_Health"}</definedName>
    <definedName name="wrn.Sm_Bus_Char." localSheetId="20" hidden="1">{#N/A,#N/A,TRUE,"Self_Emp_inv";#N/A,#N/A,TRUE,"Self_Emp_bus";#N/A,#N/A,TRUE,"Employees";#N/A,#N/A,TRUE,"Empl_Char";#N/A,#N/A,TRUE,"Empl_Age";#N/A,#N/A,TRUE,"Empl_Educ";#N/A,#N/A,TRUE,"Empl_Loc";#N/A,#N/A,TRUE,"Empl_Fin_Asst";#N/A,#N/A,TRUE,"Empl_Pens";#N/A,#N/A,TRUE,"Empl_Health"}</definedName>
    <definedName name="wrn.Sm_Bus_Char." localSheetId="17" hidden="1">{#N/A,#N/A,TRUE,"Self_Emp_inv";#N/A,#N/A,TRUE,"Self_Emp_bus";#N/A,#N/A,TRUE,"Employees";#N/A,#N/A,TRUE,"Empl_Char";#N/A,#N/A,TRUE,"Empl_Age";#N/A,#N/A,TRUE,"Empl_Educ";#N/A,#N/A,TRUE,"Empl_Loc";#N/A,#N/A,TRUE,"Empl_Fin_Asst";#N/A,#N/A,TRUE,"Empl_Pens";#N/A,#N/A,TRUE,"Empl_Health"}</definedName>
    <definedName name="wrn.Sm_Bus_Char." localSheetId="18" hidden="1">{#N/A,#N/A,TRUE,"Self_Emp_inv";#N/A,#N/A,TRUE,"Self_Emp_bus";#N/A,#N/A,TRUE,"Employees";#N/A,#N/A,TRUE,"Empl_Char";#N/A,#N/A,TRUE,"Empl_Age";#N/A,#N/A,TRUE,"Empl_Educ";#N/A,#N/A,TRUE,"Empl_Loc";#N/A,#N/A,TRUE,"Empl_Fin_Asst";#N/A,#N/A,TRUE,"Empl_Pens";#N/A,#N/A,TRUE,"Empl_Health"}</definedName>
    <definedName name="wrn.Sm_Bus_Char." localSheetId="1" hidden="1">{#N/A,#N/A,TRUE,"Self_Emp_inv";#N/A,#N/A,TRUE,"Self_Emp_bus";#N/A,#N/A,TRUE,"Employees";#N/A,#N/A,TRUE,"Empl_Char";#N/A,#N/A,TRUE,"Empl_Age";#N/A,#N/A,TRUE,"Empl_Educ";#N/A,#N/A,TRUE,"Empl_Loc";#N/A,#N/A,TRUE,"Empl_Fin_Asst";#N/A,#N/A,TRUE,"Empl_Pens";#N/A,#N/A,TRUE,"Empl_Health"}</definedName>
    <definedName name="wrn.Sm_Bus_Char." localSheetId="19" hidden="1">{#N/A,#N/A,TRUE,"Self_Emp_inv";#N/A,#N/A,TRUE,"Self_Emp_bus";#N/A,#N/A,TRUE,"Employees";#N/A,#N/A,TRUE,"Empl_Char";#N/A,#N/A,TRUE,"Empl_Age";#N/A,#N/A,TRUE,"Empl_Educ";#N/A,#N/A,TRUE,"Empl_Loc";#N/A,#N/A,TRUE,"Empl_Fin_Asst";#N/A,#N/A,TRUE,"Empl_Pens";#N/A,#N/A,TRUE,"Empl_Health"}</definedName>
    <definedName name="wrn.Sm_Bus_Char." hidden="1">{#N/A,#N/A,TRUE,"Self_Emp_inv";#N/A,#N/A,TRUE,"Self_Emp_bus";#N/A,#N/A,TRUE,"Employees";#N/A,#N/A,TRUE,"Empl_Char";#N/A,#N/A,TRUE,"Empl_Age";#N/A,#N/A,TRUE,"Empl_Educ";#N/A,#N/A,TRUE,"Empl_Loc";#N/A,#N/A,TRUE,"Empl_Fin_Asst";#N/A,#N/A,TRUE,"Empl_Pens";#N/A,#N/A,TRUE,"Empl_Health"}</definedName>
    <definedName name="X_INCH_PIN" localSheetId="13">#REF!</definedName>
    <definedName name="X_INCH_PIN" localSheetId="14">#REF!</definedName>
    <definedName name="X_INCH_PIN" localSheetId="7">'Individual Pin Gages'!$B$35:$B$44</definedName>
    <definedName name="X_INCH_PIN">#REF!</definedName>
    <definedName name="X_METRIC_PIN" localSheetId="13">#REF!</definedName>
    <definedName name="X_METRIC_PIN" localSheetId="14">#REF!</definedName>
    <definedName name="X_METRIC_PIN" localSheetId="7">'Individual Pin Gages'!$E$35:$E$44</definedName>
    <definedName name="X_METRIC_PIN">#REF!</definedName>
    <definedName name="XREF_COLUMN_1" localSheetId="13" hidden="1">#REF!</definedName>
    <definedName name="XREF_COLUMN_1" localSheetId="27" hidden="1">#REF!</definedName>
    <definedName name="XREF_COLUMN_1" localSheetId="6" hidden="1">#REF!</definedName>
    <definedName name="XREF_COLUMN_1" localSheetId="5" hidden="1">#REF!</definedName>
    <definedName name="XREF_COLUMN_1" localSheetId="14" hidden="1">#REF!</definedName>
    <definedName name="XREF_COLUMN_1" localSheetId="7" hidden="1">#REF!</definedName>
    <definedName name="XREF_COLUMN_1" localSheetId="21" hidden="1">#REF!</definedName>
    <definedName name="XREF_COLUMN_1" hidden="1">#REF!</definedName>
    <definedName name="XREF_COLUMN_2" localSheetId="27" hidden="1">#REF!</definedName>
    <definedName name="XREF_COLUMN_2" localSheetId="6" hidden="1">#REF!</definedName>
    <definedName name="XREF_COLUMN_2" localSheetId="5" hidden="1">#REF!</definedName>
    <definedName name="XREF_COLUMN_2" localSheetId="7" hidden="1">#REF!</definedName>
    <definedName name="XREF_COLUMN_2" localSheetId="21" hidden="1">#REF!</definedName>
    <definedName name="XREF_COLUMN_2" hidden="1">#REF!</definedName>
    <definedName name="XREF_COLUMN_3" localSheetId="27" hidden="1">#REF!</definedName>
    <definedName name="XREF_COLUMN_3" localSheetId="6" hidden="1">#REF!</definedName>
    <definedName name="XREF_COLUMN_3" localSheetId="5" hidden="1">#REF!</definedName>
    <definedName name="XREF_COLUMN_3" localSheetId="7" hidden="1">#REF!</definedName>
    <definedName name="XREF_COLUMN_3" localSheetId="21" hidden="1">#REF!</definedName>
    <definedName name="XREF_COLUMN_3" hidden="1">#REF!</definedName>
    <definedName name="XREF_COLUMN_4" localSheetId="6" hidden="1">#REF!</definedName>
    <definedName name="XREF_COLUMN_4" localSheetId="5" hidden="1">#REF!</definedName>
    <definedName name="XREF_COLUMN_4" localSheetId="21" hidden="1">#REF!</definedName>
    <definedName name="XREF_COLUMN_4" hidden="1">#REF!</definedName>
    <definedName name="XRefActiveRow" localSheetId="6" hidden="1">#REF!</definedName>
    <definedName name="XRefActiveRow" localSheetId="5" hidden="1">#REF!</definedName>
    <definedName name="XRefActiveRow" localSheetId="21" hidden="1">#REF!</definedName>
    <definedName name="XRefActiveRow" hidden="1">#REF!</definedName>
    <definedName name="XRefColumnsCount" hidden="1">4</definedName>
    <definedName name="XRefCopy1Row" localSheetId="27" hidden="1">#REF!</definedName>
    <definedName name="XRefCopy1Row" localSheetId="6" hidden="1">#REF!</definedName>
    <definedName name="XRefCopy1Row" localSheetId="5" hidden="1">#REF!</definedName>
    <definedName name="XRefCopy1Row" localSheetId="7" hidden="1">#REF!</definedName>
    <definedName name="XRefCopy1Row" localSheetId="21" hidden="1">#REF!</definedName>
    <definedName name="XRefCopy1Row" hidden="1">#REF!</definedName>
    <definedName name="XRefCopy3" localSheetId="27" hidden="1">#REF!</definedName>
    <definedName name="XRefCopy3" localSheetId="6" hidden="1">#REF!</definedName>
    <definedName name="XRefCopy3" localSheetId="5" hidden="1">#REF!</definedName>
    <definedName name="XRefCopy3" localSheetId="7" hidden="1">#REF!</definedName>
    <definedName name="XRefCopy3" localSheetId="21" hidden="1">#REF!</definedName>
    <definedName name="XRefCopy3" hidden="1">#REF!</definedName>
    <definedName name="XRefCopy3Row" localSheetId="27" hidden="1">#REF!</definedName>
    <definedName name="XRefCopy3Row" localSheetId="6" hidden="1">#REF!</definedName>
    <definedName name="XRefCopy3Row" localSheetId="5" hidden="1">#REF!</definedName>
    <definedName name="XRefCopy3Row" localSheetId="7" hidden="1">#REF!</definedName>
    <definedName name="XRefCopy3Row" localSheetId="21" hidden="1">#REF!</definedName>
    <definedName name="XRefCopy3Row" hidden="1">#REF!</definedName>
    <definedName name="XRefCopy4" localSheetId="6" hidden="1">#REF!</definedName>
    <definedName name="XRefCopy4" localSheetId="5" hidden="1">#REF!</definedName>
    <definedName name="XRefCopy4" localSheetId="21" hidden="1">#REF!</definedName>
    <definedName name="XRefCopy4" hidden="1">#REF!</definedName>
    <definedName name="XRefCopy4Row" localSheetId="6" hidden="1">#REF!</definedName>
    <definedName name="XRefCopy4Row" localSheetId="5" hidden="1">#REF!</definedName>
    <definedName name="XRefCopy4Row" localSheetId="21" hidden="1">#REF!</definedName>
    <definedName name="XRefCopy4Row" hidden="1">#REF!</definedName>
    <definedName name="XRefCopy5" localSheetId="6" hidden="1">#REF!</definedName>
    <definedName name="XRefCopy5" localSheetId="5" hidden="1">#REF!</definedName>
    <definedName name="XRefCopy5" localSheetId="21" hidden="1">#REF!</definedName>
    <definedName name="XRefCopy5" hidden="1">#REF!</definedName>
    <definedName name="XRefCopy5Row" localSheetId="6" hidden="1">#REF!</definedName>
    <definedName name="XRefCopy5Row" localSheetId="5" hidden="1">#REF!</definedName>
    <definedName name="XRefCopy5Row" localSheetId="21" hidden="1">#REF!</definedName>
    <definedName name="XRefCopy5Row" hidden="1">#REF!</definedName>
    <definedName name="XRefCopy6Row" localSheetId="6" hidden="1">#REF!</definedName>
    <definedName name="XRefCopy6Row" localSheetId="5" hidden="1">#REF!</definedName>
    <definedName name="XRefCopy6Row" localSheetId="21" hidden="1">#REF!</definedName>
    <definedName name="XRefCopy6Row" hidden="1">#REF!</definedName>
    <definedName name="XRefCopy7" localSheetId="6" hidden="1">#REF!</definedName>
    <definedName name="XRefCopy7" localSheetId="5" hidden="1">#REF!</definedName>
    <definedName name="XRefCopy7" localSheetId="21" hidden="1">#REF!</definedName>
    <definedName name="XRefCopy7" hidden="1">#REF!</definedName>
    <definedName name="XRefCopy7Row" localSheetId="6" hidden="1">#REF!</definedName>
    <definedName name="XRefCopy7Row" localSheetId="5" hidden="1">#REF!</definedName>
    <definedName name="XRefCopy7Row" localSheetId="21" hidden="1">#REF!</definedName>
    <definedName name="XRefCopy7Row" hidden="1">#REF!</definedName>
    <definedName name="XRefCopy8" localSheetId="6" hidden="1">#REF!</definedName>
    <definedName name="XRefCopy8" localSheetId="5" hidden="1">#REF!</definedName>
    <definedName name="XRefCopy8" localSheetId="21" hidden="1">#REF!</definedName>
    <definedName name="XRefCopy8" hidden="1">#REF!</definedName>
    <definedName name="XRefCopy8Row" localSheetId="6" hidden="1">#REF!</definedName>
    <definedName name="XRefCopy8Row" localSheetId="5" hidden="1">#REF!</definedName>
    <definedName name="XRefCopy8Row" localSheetId="21" hidden="1">#REF!</definedName>
    <definedName name="XRefCopy8Row" hidden="1">#REF!</definedName>
    <definedName name="XRefCopyRangeCount" hidden="1">8</definedName>
    <definedName name="XRefPaste1" localSheetId="27" hidden="1">#REF!</definedName>
    <definedName name="XRefPaste1" localSheetId="6" hidden="1">#REF!</definedName>
    <definedName name="XRefPaste1" localSheetId="5" hidden="1">#REF!</definedName>
    <definedName name="XRefPaste1" localSheetId="7" hidden="1">#REF!</definedName>
    <definedName name="XRefPaste1" localSheetId="21" hidden="1">#REF!</definedName>
    <definedName name="XRefPaste1" hidden="1">#REF!</definedName>
    <definedName name="XRefPaste1Row" localSheetId="27" hidden="1">#REF!</definedName>
    <definedName name="XRefPaste1Row" localSheetId="6" hidden="1">#REF!</definedName>
    <definedName name="XRefPaste1Row" localSheetId="5" hidden="1">#REF!</definedName>
    <definedName name="XRefPaste1Row" localSheetId="7" hidden="1">#REF!</definedName>
    <definedName name="XRefPaste1Row" localSheetId="21" hidden="1">#REF!</definedName>
    <definedName name="XRefPaste1Row" hidden="1">#REF!</definedName>
    <definedName name="XRefPaste2" localSheetId="27" hidden="1">#REF!</definedName>
    <definedName name="XRefPaste2" localSheetId="6" hidden="1">#REF!</definedName>
    <definedName name="XRefPaste2" localSheetId="5" hidden="1">#REF!</definedName>
    <definedName name="XRefPaste2" localSheetId="7" hidden="1">#REF!</definedName>
    <definedName name="XRefPaste2" localSheetId="21" hidden="1">#REF!</definedName>
    <definedName name="XRefPaste2" hidden="1">#REF!</definedName>
    <definedName name="XRefPaste2Row" localSheetId="6" hidden="1">#REF!</definedName>
    <definedName name="XRefPaste2Row" localSheetId="5" hidden="1">#REF!</definedName>
    <definedName name="XRefPaste2Row" localSheetId="21" hidden="1">#REF!</definedName>
    <definedName name="XRefPaste2Row" hidden="1">#REF!</definedName>
    <definedName name="XRefPasteRangeCount" hidden="1">2</definedName>
    <definedName name="XX_INCH_PIN" localSheetId="13">#REF!</definedName>
    <definedName name="XX_INCH_PIN" localSheetId="14">#REF!</definedName>
    <definedName name="XX_INCH_PIN" localSheetId="7">'Individual Pin Gages'!$B$52:$B$61</definedName>
    <definedName name="XX_INCH_PIN">#REF!</definedName>
    <definedName name="XX_METRIC_PIN" localSheetId="13">#REF!</definedName>
    <definedName name="XX_METRIC_PIN" localSheetId="14">#REF!</definedName>
    <definedName name="XX_METRIC_PIN" localSheetId="7">'Individual Pin Gages'!$E$52:$E$61</definedName>
    <definedName name="XX_METRIC_PIN">#REF!</definedName>
    <definedName name="Year1" localSheetId="27">#REF!</definedName>
    <definedName name="Year1" localSheetId="6">#REF!</definedName>
    <definedName name="Year1" localSheetId="5">#REF!</definedName>
    <definedName name="Year1" localSheetId="7">#REF!</definedName>
    <definedName name="Year1" localSheetId="21">#REF!</definedName>
    <definedName name="Year1">#REF!</definedName>
    <definedName name="yes" localSheetId="13" hidden="1">#REF!</definedName>
    <definedName name="yes" localSheetId="27" hidden="1">#REF!</definedName>
    <definedName name="yes" localSheetId="6" hidden="1">#REF!</definedName>
    <definedName name="yes" localSheetId="5" hidden="1">#REF!</definedName>
    <definedName name="yes" localSheetId="14" hidden="1">#REF!</definedName>
    <definedName name="yes" localSheetId="7" hidden="1">#REF!</definedName>
    <definedName name="yes" localSheetId="21" hidden="1">#REF!</definedName>
    <definedName name="yes" hidden="1">#REF!</definedName>
    <definedName name="Z_2F0BD9A2_457D_11D2_8EE8_0060971217D4_.wvu.PrintArea" localSheetId="27" hidden="1">#REF!</definedName>
    <definedName name="Z_2F0BD9A2_457D_11D2_8EE8_0060971217D4_.wvu.PrintArea" localSheetId="6" hidden="1">#REF!</definedName>
    <definedName name="Z_2F0BD9A2_457D_11D2_8EE8_0060971217D4_.wvu.PrintArea" localSheetId="5" hidden="1">#REF!</definedName>
    <definedName name="Z_2F0BD9A2_457D_11D2_8EE8_0060971217D4_.wvu.PrintArea" localSheetId="7" hidden="1">#REF!</definedName>
    <definedName name="Z_2F0BD9A2_457D_11D2_8EE8_0060971217D4_.wvu.PrintArea" localSheetId="21" hidden="1">#REF!</definedName>
    <definedName name="Z_2F0BD9A2_457D_11D2_8EE8_0060971217D4_.wvu.PrintArea" hidden="1">#REF!</definedName>
    <definedName name="Z_2F0BD9A2_457D_11D2_8EE8_0060971217D4_.wvu.PrintTitles" localSheetId="6" hidden="1">#REF!</definedName>
    <definedName name="Z_2F0BD9A2_457D_11D2_8EE8_0060971217D4_.wvu.PrintTitles" localSheetId="5" hidden="1">#REF!</definedName>
    <definedName name="Z_2F0BD9A2_457D_11D2_8EE8_0060971217D4_.wvu.PrintTitles" localSheetId="21" hidden="1">#REF!</definedName>
    <definedName name="Z_2F0BD9A2_457D_11D2_8EE8_0060971217D4_.wvu.PrintTitles" hidden="1">#REF!</definedName>
    <definedName name="Z_3AB84060_44C7_11D2_8EE8_0060971217D4_.wvu.PrintArea" localSheetId="6" hidden="1">#REF!</definedName>
    <definedName name="Z_3AB84060_44C7_11D2_8EE8_0060971217D4_.wvu.PrintArea" localSheetId="5" hidden="1">#REF!</definedName>
    <definedName name="Z_3AB84060_44C7_11D2_8EE8_0060971217D4_.wvu.PrintArea" localSheetId="21" hidden="1">#REF!</definedName>
    <definedName name="Z_3AB84060_44C7_11D2_8EE8_0060971217D4_.wvu.PrintArea" hidden="1">#REF!</definedName>
    <definedName name="Z_3AB84060_44C7_11D2_8EE8_0060971217D4_.wvu.PrintTitles" localSheetId="6" hidden="1">#REF!</definedName>
    <definedName name="Z_3AB84060_44C7_11D2_8EE8_0060971217D4_.wvu.PrintTitles" localSheetId="5" hidden="1">#REF!</definedName>
    <definedName name="Z_3AB84060_44C7_11D2_8EE8_0060971217D4_.wvu.PrintTitles" localSheetId="21" hidden="1">#REF!</definedName>
    <definedName name="Z_3AB84060_44C7_11D2_8EE8_0060971217D4_.wvu.PrintTitles" hidden="1">#REF!</definedName>
    <definedName name="Z_C2C0FF43_603F_11D2_A368_00001C3AD7D3_.wvu.PrintArea" localSheetId="6" hidden="1">#REF!</definedName>
    <definedName name="Z_C2C0FF43_603F_11D2_A368_00001C3AD7D3_.wvu.PrintArea" localSheetId="5" hidden="1">#REF!</definedName>
    <definedName name="Z_C2C0FF43_603F_11D2_A368_00001C3AD7D3_.wvu.PrintArea" localSheetId="21" hidden="1">#REF!</definedName>
    <definedName name="Z_C2C0FF43_603F_11D2_A368_00001C3AD7D3_.wvu.PrintArea" hidden="1">#REF!</definedName>
    <definedName name="Z_C2C0FF43_603F_11D2_A368_00001C3AD7D3_.wvu.PrintTitles" localSheetId="6" hidden="1">#REF!</definedName>
    <definedName name="Z_C2C0FF43_603F_11D2_A368_00001C3AD7D3_.wvu.PrintTitles" localSheetId="5" hidden="1">#REF!</definedName>
    <definedName name="Z_C2C0FF43_603F_11D2_A368_00001C3AD7D3_.wvu.PrintTitles" localSheetId="21" hidden="1">#REF!</definedName>
    <definedName name="Z_C2C0FF43_603F_11D2_A368_00001C3AD7D3_.wvu.PrintTitles" hidden="1">#REF!</definedName>
    <definedName name="Z_D068BBA0_44C0_11D2_8EE8_0060971217D4_.wvu.Cols" localSheetId="27" hidden="1">#REF!,#REF!,#REF!,#REF!</definedName>
    <definedName name="Z_D068BBA0_44C0_11D2_8EE8_0060971217D4_.wvu.Cols" localSheetId="6" hidden="1">#REF!,#REF!,#REF!,#REF!</definedName>
    <definedName name="Z_D068BBA0_44C0_11D2_8EE8_0060971217D4_.wvu.Cols" localSheetId="5" hidden="1">#REF!,#REF!,#REF!,#REF!</definedName>
    <definedName name="Z_D068BBA0_44C0_11D2_8EE8_0060971217D4_.wvu.Cols" localSheetId="21" hidden="1">#REF!,#REF!,#REF!,#REF!</definedName>
    <definedName name="Z_D068BBA0_44C0_11D2_8EE8_0060971217D4_.wvu.Cols" hidden="1">#REF!,#REF!,#REF!,#REF!</definedName>
    <definedName name="Z_D068BBA0_44C0_11D2_8EE8_0060971217D4_.wvu.PrintArea" localSheetId="27" hidden="1">#REF!</definedName>
    <definedName name="Z_D068BBA0_44C0_11D2_8EE8_0060971217D4_.wvu.PrintArea" localSheetId="6" hidden="1">#REF!</definedName>
    <definedName name="Z_D068BBA0_44C0_11D2_8EE8_0060971217D4_.wvu.PrintArea" localSheetId="5" hidden="1">#REF!</definedName>
    <definedName name="Z_D068BBA0_44C0_11D2_8EE8_0060971217D4_.wvu.PrintArea" localSheetId="7" hidden="1">#REF!</definedName>
    <definedName name="Z_D068BBA0_44C0_11D2_8EE8_0060971217D4_.wvu.PrintArea" localSheetId="21" hidden="1">#REF!</definedName>
    <definedName name="Z_D068BBA0_44C0_11D2_8EE8_0060971217D4_.wvu.PrintArea" hidden="1">#REF!</definedName>
    <definedName name="Z_INCH_PIN" localSheetId="13">#REF!</definedName>
    <definedName name="Z_INCH_PIN" localSheetId="14">#REF!</definedName>
    <definedName name="Z_INCH_PIN" localSheetId="7">'Individual Pin Gages'!$B$18:$B$27</definedName>
    <definedName name="Z_INCH_PIN">#REF!</definedName>
    <definedName name="Z_METRIC_PIN" localSheetId="13">#REF!</definedName>
    <definedName name="Z_METRIC_PIN" localSheetId="14">#REF!</definedName>
    <definedName name="Z_METRIC_PIN" localSheetId="7">'Individual Pin Gages'!$E$18:$E$27</definedName>
    <definedName name="Z_METRIC_PIN">#REF!</definedName>
    <definedName name="Zone_utile" localSheetId="27">#REF!</definedName>
    <definedName name="Zone_utile" localSheetId="6">#REF!</definedName>
    <definedName name="Zone_utile" localSheetId="5">#REF!</definedName>
    <definedName name="Zone_utile" localSheetId="7">#REF!</definedName>
    <definedName name="Zone_utile" localSheetId="21">#REF!</definedName>
    <definedName name="Zone_uti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25" i="63" l="1"/>
  <c r="AH24" i="63"/>
  <c r="AH23" i="63"/>
  <c r="AH22" i="63"/>
  <c r="AH21" i="63"/>
  <c r="AH20" i="63"/>
  <c r="AH19" i="63"/>
  <c r="AH18" i="63"/>
  <c r="AH17" i="63"/>
  <c r="AH16" i="63"/>
  <c r="AH15" i="63"/>
  <c r="AH14" i="63"/>
  <c r="AO8" i="83"/>
  <c r="AO9" i="83"/>
  <c r="AO10" i="83"/>
  <c r="AO11" i="83"/>
  <c r="AO12" i="83"/>
  <c r="AO13" i="83"/>
  <c r="AO14" i="83"/>
  <c r="AO15" i="83"/>
  <c r="AO16" i="83"/>
  <c r="AO17" i="83"/>
  <c r="AO18" i="83"/>
  <c r="AO19" i="83"/>
  <c r="AO20" i="83"/>
  <c r="AO21" i="83"/>
  <c r="AO22" i="83"/>
  <c r="AO23" i="83"/>
  <c r="AO24" i="83"/>
  <c r="AO25" i="83"/>
  <c r="AO26" i="83"/>
  <c r="AO27" i="83"/>
  <c r="AO28" i="83"/>
  <c r="AO29" i="83"/>
  <c r="AO30" i="83"/>
  <c r="AO31" i="83"/>
  <c r="AO32" i="83"/>
  <c r="AO33" i="83"/>
  <c r="AO34" i="83"/>
  <c r="AO35" i="83"/>
  <c r="AO36" i="83"/>
  <c r="AO37" i="83"/>
  <c r="AO38" i="83"/>
  <c r="AO39" i="83"/>
  <c r="AO40" i="83"/>
  <c r="AO41" i="83"/>
  <c r="AO42" i="83"/>
  <c r="AO7" i="83"/>
  <c r="AL8" i="83"/>
  <c r="AL9" i="83"/>
  <c r="AL10" i="83"/>
  <c r="AL11" i="83"/>
  <c r="AL12" i="83"/>
  <c r="AL13" i="83"/>
  <c r="AL14" i="83"/>
  <c r="AL15" i="83"/>
  <c r="AL16" i="83"/>
  <c r="AL17" i="83"/>
  <c r="AL18" i="83"/>
  <c r="AL19" i="83"/>
  <c r="AL20" i="83"/>
  <c r="AL21" i="83"/>
  <c r="AL22" i="83"/>
  <c r="AL23" i="83"/>
  <c r="AL24" i="83"/>
  <c r="AL25" i="83"/>
  <c r="AL26" i="83"/>
  <c r="AL27" i="83"/>
  <c r="AL28" i="83"/>
  <c r="AL29" i="83"/>
  <c r="AL30" i="83"/>
  <c r="AL31" i="83"/>
  <c r="AL32" i="83"/>
  <c r="AL33" i="83"/>
  <c r="AL34" i="83"/>
  <c r="AL35" i="83"/>
  <c r="AL36" i="83"/>
  <c r="AL37" i="83"/>
  <c r="AL38" i="83"/>
  <c r="AL39" i="83"/>
  <c r="AL40" i="83"/>
  <c r="AL41" i="83"/>
  <c r="AL42" i="83"/>
  <c r="AL7" i="83"/>
  <c r="AN42" i="83"/>
  <c r="AK42" i="83"/>
  <c r="AN40" i="83"/>
  <c r="AK40" i="83"/>
  <c r="AN38" i="83"/>
  <c r="AK38" i="83"/>
  <c r="AN36" i="83"/>
  <c r="AK36" i="83"/>
  <c r="AN34" i="83"/>
  <c r="AK34" i="83"/>
  <c r="AN32" i="83"/>
  <c r="AK32" i="83"/>
  <c r="AN30" i="83"/>
  <c r="AK30" i="83"/>
  <c r="AN28" i="83"/>
  <c r="AK28" i="83"/>
  <c r="AN26" i="83"/>
  <c r="AK26" i="83"/>
  <c r="AN24" i="83"/>
  <c r="AK24" i="83"/>
  <c r="AN22" i="83"/>
  <c r="AK22" i="83"/>
  <c r="AN20" i="83"/>
  <c r="AK20" i="83"/>
  <c r="AN18" i="83"/>
  <c r="AK18" i="83"/>
  <c r="AN16" i="83"/>
  <c r="AK16" i="83"/>
  <c r="AN14" i="83"/>
  <c r="AK14" i="83"/>
  <c r="AN12" i="83"/>
  <c r="AK12" i="83"/>
  <c r="AN10" i="83"/>
  <c r="AK10" i="83"/>
  <c r="AN8" i="83"/>
  <c r="AK8" i="83"/>
  <c r="Z58" i="83"/>
  <c r="M58" i="83"/>
  <c r="Z57" i="83"/>
  <c r="M57" i="83"/>
  <c r="Z56" i="83"/>
  <c r="M56" i="83"/>
  <c r="Z55" i="83"/>
  <c r="M55" i="83"/>
  <c r="Z54" i="83"/>
  <c r="M54" i="83"/>
  <c r="Z53" i="83"/>
  <c r="M53" i="83"/>
  <c r="Z52" i="83"/>
  <c r="M52" i="83"/>
  <c r="Z51" i="83"/>
  <c r="M51" i="83"/>
  <c r="Z50" i="83"/>
  <c r="M50" i="83"/>
  <c r="Z49" i="83"/>
  <c r="M49" i="83"/>
  <c r="Z48" i="83"/>
  <c r="P48" i="83"/>
  <c r="AC48" i="83" s="1"/>
  <c r="AO48" i="83" s="1"/>
  <c r="O48" i="83"/>
  <c r="AB48" i="83" s="1"/>
  <c r="AL48" i="83" s="1"/>
  <c r="M48" i="83"/>
  <c r="AC47" i="83"/>
  <c r="AO47" i="83" s="1"/>
  <c r="AB47" i="83"/>
  <c r="AL47" i="83" s="1"/>
  <c r="Z47" i="83"/>
  <c r="M47" i="83"/>
  <c r="Y45" i="83"/>
  <c r="T74" i="83"/>
  <c r="E74" i="83"/>
  <c r="T73" i="83"/>
  <c r="E73" i="83"/>
  <c r="T72" i="83"/>
  <c r="E72" i="83"/>
  <c r="T71" i="83"/>
  <c r="E71" i="83"/>
  <c r="T70" i="83"/>
  <c r="E70" i="83"/>
  <c r="T69" i="83"/>
  <c r="E69" i="83"/>
  <c r="T68" i="83"/>
  <c r="E68" i="83"/>
  <c r="T67" i="83"/>
  <c r="E67" i="83"/>
  <c r="T66" i="83"/>
  <c r="E66" i="83"/>
  <c r="T65" i="83"/>
  <c r="E65" i="83"/>
  <c r="T64" i="83"/>
  <c r="E64" i="83"/>
  <c r="T63" i="83"/>
  <c r="E63" i="83"/>
  <c r="T62" i="83"/>
  <c r="E62" i="83"/>
  <c r="T61" i="83"/>
  <c r="E61" i="83"/>
  <c r="T60" i="83"/>
  <c r="E60" i="83"/>
  <c r="T59" i="83"/>
  <c r="E59" i="83"/>
  <c r="T58" i="83"/>
  <c r="E58" i="83"/>
  <c r="T57" i="83"/>
  <c r="E57" i="83"/>
  <c r="T56" i="83"/>
  <c r="E56" i="83"/>
  <c r="T55" i="83"/>
  <c r="E55" i="83"/>
  <c r="T54" i="83"/>
  <c r="E54" i="83"/>
  <c r="T53" i="83"/>
  <c r="E53" i="83"/>
  <c r="T52" i="83"/>
  <c r="E52" i="83"/>
  <c r="T51" i="83"/>
  <c r="E51" i="83"/>
  <c r="T50" i="83"/>
  <c r="E50" i="83"/>
  <c r="T49" i="83"/>
  <c r="E49" i="83"/>
  <c r="T48" i="83"/>
  <c r="H48" i="83"/>
  <c r="H49" i="83" s="1"/>
  <c r="G48" i="83"/>
  <c r="G49" i="83" s="1"/>
  <c r="V49" i="83" s="1"/>
  <c r="AF49" i="83" s="1"/>
  <c r="E48" i="83"/>
  <c r="W47" i="83"/>
  <c r="AI47" i="83" s="1"/>
  <c r="V47" i="83"/>
  <c r="AF47" i="83" s="1"/>
  <c r="T47" i="83"/>
  <c r="E47" i="83"/>
  <c r="S45" i="83"/>
  <c r="Z42" i="83"/>
  <c r="Z41" i="83"/>
  <c r="Z40" i="83"/>
  <c r="Z39" i="83"/>
  <c r="Z38" i="83"/>
  <c r="Z37" i="83"/>
  <c r="Z36" i="83"/>
  <c r="Z35" i="83"/>
  <c r="Z34" i="83"/>
  <c r="Z33" i="83"/>
  <c r="Z32" i="83"/>
  <c r="Z31" i="83"/>
  <c r="Z30" i="83"/>
  <c r="Z29" i="83"/>
  <c r="Z28" i="83"/>
  <c r="Z27" i="83"/>
  <c r="Z26" i="83"/>
  <c r="Z25" i="83"/>
  <c r="Z24" i="83"/>
  <c r="Z23" i="83"/>
  <c r="Z22" i="83"/>
  <c r="Z21" i="83"/>
  <c r="Z20" i="83"/>
  <c r="Z19" i="83"/>
  <c r="Z18" i="83"/>
  <c r="Z17" i="83"/>
  <c r="Z16" i="83"/>
  <c r="Z15" i="83"/>
  <c r="Z14" i="83"/>
  <c r="Z13" i="83"/>
  <c r="Z12" i="83"/>
  <c r="Z11" i="83"/>
  <c r="Z10" i="83"/>
  <c r="Z9" i="83"/>
  <c r="Z8" i="83"/>
  <c r="P8" i="83"/>
  <c r="P9" i="83" s="1"/>
  <c r="AC9" i="83" s="1"/>
  <c r="O8" i="83"/>
  <c r="O9" i="83" s="1"/>
  <c r="O10" i="83" s="1"/>
  <c r="AC7" i="83"/>
  <c r="AB7" i="83"/>
  <c r="Z7" i="83"/>
  <c r="Y5" i="83"/>
  <c r="AH42" i="83"/>
  <c r="AE42" i="83"/>
  <c r="T42" i="83"/>
  <c r="E42" i="83"/>
  <c r="T41" i="83"/>
  <c r="E41" i="83"/>
  <c r="AH40" i="83"/>
  <c r="AE40" i="83"/>
  <c r="T40" i="83"/>
  <c r="E40" i="83"/>
  <c r="T39" i="83"/>
  <c r="E39" i="83"/>
  <c r="AH38" i="83"/>
  <c r="AE38" i="83"/>
  <c r="T38" i="83"/>
  <c r="E38" i="83"/>
  <c r="T37" i="83"/>
  <c r="E37" i="83"/>
  <c r="AH36" i="83"/>
  <c r="AE36" i="83"/>
  <c r="T36" i="83"/>
  <c r="E36" i="83"/>
  <c r="T35" i="83"/>
  <c r="E35" i="83"/>
  <c r="AH34" i="83"/>
  <c r="AE34" i="83"/>
  <c r="T34" i="83"/>
  <c r="E34" i="83"/>
  <c r="T33" i="83"/>
  <c r="E33" i="83"/>
  <c r="AH32" i="83"/>
  <c r="AE32" i="83"/>
  <c r="T32" i="83"/>
  <c r="E32" i="83"/>
  <c r="T31" i="83"/>
  <c r="E31" i="83"/>
  <c r="AH30" i="83"/>
  <c r="AE30" i="83"/>
  <c r="T30" i="83"/>
  <c r="E30" i="83"/>
  <c r="T29" i="83"/>
  <c r="E29" i="83"/>
  <c r="AH28" i="83"/>
  <c r="AE28" i="83"/>
  <c r="T28" i="83"/>
  <c r="E28" i="83"/>
  <c r="T27" i="83"/>
  <c r="E27" i="83"/>
  <c r="AH26" i="83"/>
  <c r="AE26" i="83"/>
  <c r="T26" i="83"/>
  <c r="E26" i="83"/>
  <c r="T25" i="83"/>
  <c r="E25" i="83"/>
  <c r="AH24" i="83"/>
  <c r="AE24" i="83"/>
  <c r="T24" i="83"/>
  <c r="E24" i="83"/>
  <c r="T23" i="83"/>
  <c r="E23" i="83"/>
  <c r="AH22" i="83"/>
  <c r="AE22" i="83"/>
  <c r="T22" i="83"/>
  <c r="E22" i="83"/>
  <c r="T21" i="83"/>
  <c r="E21" i="83"/>
  <c r="AH20" i="83"/>
  <c r="AE20" i="83"/>
  <c r="T20" i="83"/>
  <c r="E20" i="83"/>
  <c r="T19" i="83"/>
  <c r="E19" i="83"/>
  <c r="AH18" i="83"/>
  <c r="AE18" i="83"/>
  <c r="T18" i="83"/>
  <c r="E18" i="83"/>
  <c r="T17" i="83"/>
  <c r="E17" i="83"/>
  <c r="AH16" i="83"/>
  <c r="AE16" i="83"/>
  <c r="T16" i="83"/>
  <c r="E16" i="83"/>
  <c r="T15" i="83"/>
  <c r="E15" i="83"/>
  <c r="AH14" i="83"/>
  <c r="AE14" i="83"/>
  <c r="T14" i="83"/>
  <c r="E14" i="83"/>
  <c r="T13" i="83"/>
  <c r="E13" i="83"/>
  <c r="AH12" i="83"/>
  <c r="AE12" i="83"/>
  <c r="T12" i="83"/>
  <c r="E12" i="83"/>
  <c r="T11" i="83"/>
  <c r="E11" i="83"/>
  <c r="AH10" i="83"/>
  <c r="AE10" i="83"/>
  <c r="T10" i="83"/>
  <c r="E10" i="83"/>
  <c r="T9" i="83"/>
  <c r="E9" i="83"/>
  <c r="AH8" i="83"/>
  <c r="AE8" i="83"/>
  <c r="T8" i="83"/>
  <c r="H8" i="83"/>
  <c r="H9" i="83" s="1"/>
  <c r="H10" i="83" s="1"/>
  <c r="G8" i="83"/>
  <c r="G9" i="83" s="1"/>
  <c r="V9" i="83" s="1"/>
  <c r="AF9" i="83" s="1"/>
  <c r="E8" i="83"/>
  <c r="W7" i="83"/>
  <c r="AI7" i="83" s="1"/>
  <c r="V7" i="83"/>
  <c r="AF7" i="83" s="1"/>
  <c r="T7" i="83"/>
  <c r="E7" i="83"/>
  <c r="S5" i="83"/>
  <c r="V48" i="83" l="1"/>
  <c r="AF48" i="83" s="1"/>
  <c r="V8" i="83"/>
  <c r="AF8" i="83" s="1"/>
  <c r="G50" i="83"/>
  <c r="G51" i="83" s="1"/>
  <c r="G52" i="83" s="1"/>
  <c r="V52" i="83" s="1"/>
  <c r="AF52" i="83" s="1"/>
  <c r="G10" i="83"/>
  <c r="G11" i="83" s="1"/>
  <c r="V11" i="83" s="1"/>
  <c r="AF11" i="83" s="1"/>
  <c r="AC8" i="83"/>
  <c r="O11" i="83"/>
  <c r="AB10" i="83"/>
  <c r="W10" i="83"/>
  <c r="AI10" i="83" s="1"/>
  <c r="H11" i="83"/>
  <c r="H12" i="83" s="1"/>
  <c r="W12" i="83" s="1"/>
  <c r="AI12" i="83" s="1"/>
  <c r="O49" i="83"/>
  <c r="O50" i="83" s="1"/>
  <c r="O51" i="83" s="1"/>
  <c r="O52" i="83" s="1"/>
  <c r="AB8" i="83"/>
  <c r="P49" i="83"/>
  <c r="P50" i="83" s="1"/>
  <c r="P51" i="83" s="1"/>
  <c r="AC51" i="83" s="1"/>
  <c r="AO51" i="83" s="1"/>
  <c r="W8" i="83"/>
  <c r="AI8" i="83" s="1"/>
  <c r="AB9" i="83"/>
  <c r="W48" i="83"/>
  <c r="AI48" i="83" s="1"/>
  <c r="H50" i="83"/>
  <c r="W49" i="83"/>
  <c r="AI49" i="83" s="1"/>
  <c r="W9" i="83"/>
  <c r="AI9" i="83" s="1"/>
  <c r="P10" i="83"/>
  <c r="M25" i="71"/>
  <c r="M24" i="71"/>
  <c r="B24" i="71"/>
  <c r="L24" i="71" s="1"/>
  <c r="B25" i="71"/>
  <c r="L25" i="71" s="1"/>
  <c r="V51" i="83" l="1"/>
  <c r="AF51" i="83" s="1"/>
  <c r="G53" i="83"/>
  <c r="V53" i="83" s="1"/>
  <c r="AF53" i="83" s="1"/>
  <c r="V50" i="83"/>
  <c r="AF50" i="83" s="1"/>
  <c r="W11" i="83"/>
  <c r="AI11" i="83" s="1"/>
  <c r="AB51" i="83"/>
  <c r="AL51" i="83" s="1"/>
  <c r="AC50" i="83"/>
  <c r="AO50" i="83" s="1"/>
  <c r="P52" i="83"/>
  <c r="G12" i="83"/>
  <c r="G13" i="83" s="1"/>
  <c r="V10" i="83"/>
  <c r="AF10" i="83" s="1"/>
  <c r="AC49" i="83"/>
  <c r="AO49" i="83" s="1"/>
  <c r="AB49" i="83"/>
  <c r="AL49" i="83" s="1"/>
  <c r="H13" i="83"/>
  <c r="W13" i="83" s="1"/>
  <c r="AI13" i="83" s="1"/>
  <c r="AB50" i="83"/>
  <c r="AL50" i="83" s="1"/>
  <c r="O12" i="83"/>
  <c r="AB11" i="83"/>
  <c r="AC10" i="83"/>
  <c r="P11" i="83"/>
  <c r="W50" i="83"/>
  <c r="AI50" i="83" s="1"/>
  <c r="H51" i="83"/>
  <c r="P53" i="83"/>
  <c r="AC52" i="83"/>
  <c r="AO52" i="83" s="1"/>
  <c r="O53" i="83"/>
  <c r="AB52" i="83"/>
  <c r="AL52" i="83" s="1"/>
  <c r="D37" i="43"/>
  <c r="D38" i="43"/>
  <c r="D41" i="43"/>
  <c r="D42" i="43"/>
  <c r="D43" i="43"/>
  <c r="W60" i="58"/>
  <c r="U60" i="58"/>
  <c r="W59" i="58"/>
  <c r="U59" i="58"/>
  <c r="W58" i="58"/>
  <c r="U58" i="58"/>
  <c r="W57" i="58"/>
  <c r="U57" i="58"/>
  <c r="W56" i="58"/>
  <c r="X56" i="58" s="1"/>
  <c r="U56" i="58"/>
  <c r="W55" i="58"/>
  <c r="U55" i="58"/>
  <c r="W54" i="58"/>
  <c r="U54" i="58"/>
  <c r="U53" i="58"/>
  <c r="W53" i="58"/>
  <c r="X53" i="58" s="1"/>
  <c r="AE60" i="58"/>
  <c r="AC60" i="58"/>
  <c r="AE59" i="58"/>
  <c r="AC59" i="58"/>
  <c r="AE58" i="58"/>
  <c r="AF58" i="58" s="1"/>
  <c r="AC58" i="58"/>
  <c r="AE57" i="58"/>
  <c r="AC57" i="58"/>
  <c r="AE56" i="58"/>
  <c r="AC56" i="58"/>
  <c r="AE55" i="58"/>
  <c r="AC55" i="58"/>
  <c r="AE54" i="58"/>
  <c r="AC54" i="58"/>
  <c r="AC53" i="58"/>
  <c r="AE53" i="58"/>
  <c r="W47" i="58"/>
  <c r="U47" i="58"/>
  <c r="W46" i="58"/>
  <c r="U46" i="58"/>
  <c r="W45" i="58"/>
  <c r="U45" i="58"/>
  <c r="W44" i="58"/>
  <c r="U44" i="58"/>
  <c r="W43" i="58"/>
  <c r="U43" i="58"/>
  <c r="W42" i="58"/>
  <c r="U42" i="58"/>
  <c r="W41" i="58"/>
  <c r="U41" i="58"/>
  <c r="W40" i="58"/>
  <c r="U40" i="58"/>
  <c r="AE40" i="58"/>
  <c r="AF40" i="58" s="1"/>
  <c r="AC40" i="58"/>
  <c r="AE47" i="58"/>
  <c r="AC47" i="58"/>
  <c r="AE46" i="58"/>
  <c r="AC46" i="58"/>
  <c r="AE45" i="58"/>
  <c r="AC45" i="58"/>
  <c r="AE44" i="58"/>
  <c r="AC44" i="58"/>
  <c r="AE43" i="58"/>
  <c r="AC43" i="58"/>
  <c r="AE42" i="58"/>
  <c r="AF42" i="58" s="1"/>
  <c r="AC42" i="58"/>
  <c r="AE41" i="58"/>
  <c r="AC41" i="58"/>
  <c r="AB40" i="58"/>
  <c r="C31" i="78"/>
  <c r="C30" i="78"/>
  <c r="C26" i="78"/>
  <c r="C25" i="78"/>
  <c r="C21" i="78"/>
  <c r="C20" i="78"/>
  <c r="C29" i="78"/>
  <c r="C28" i="78"/>
  <c r="C24" i="78"/>
  <c r="C23" i="78"/>
  <c r="C19" i="78"/>
  <c r="C18" i="78"/>
  <c r="C16" i="78"/>
  <c r="C15" i="78"/>
  <c r="W32" i="58"/>
  <c r="W31" i="58"/>
  <c r="W30" i="58"/>
  <c r="W29" i="58"/>
  <c r="W28" i="58"/>
  <c r="W27" i="58"/>
  <c r="W26" i="58"/>
  <c r="W25" i="58"/>
  <c r="U32" i="58"/>
  <c r="X32" i="58" s="1"/>
  <c r="U31" i="58"/>
  <c r="U30" i="58"/>
  <c r="X30" i="58" s="1"/>
  <c r="U29" i="58"/>
  <c r="U28" i="58"/>
  <c r="U27" i="58"/>
  <c r="U26" i="58"/>
  <c r="U25" i="58"/>
  <c r="AE27" i="58"/>
  <c r="AE25" i="58"/>
  <c r="AC25" i="58"/>
  <c r="T41" i="58"/>
  <c r="X58" i="58" l="1"/>
  <c r="AF60" i="58"/>
  <c r="X45" i="58"/>
  <c r="AF54" i="58"/>
  <c r="AF57" i="58"/>
  <c r="X55" i="58"/>
  <c r="AF46" i="58"/>
  <c r="X43" i="58"/>
  <c r="AF41" i="58"/>
  <c r="X57" i="58"/>
  <c r="AF47" i="58"/>
  <c r="X44" i="58"/>
  <c r="AF59" i="58"/>
  <c r="X59" i="58"/>
  <c r="AF55" i="58"/>
  <c r="X40" i="58"/>
  <c r="AF56" i="58"/>
  <c r="X60" i="58"/>
  <c r="X47" i="58"/>
  <c r="X42" i="58"/>
  <c r="AF43" i="58"/>
  <c r="X46" i="58"/>
  <c r="AF44" i="58"/>
  <c r="X54" i="58"/>
  <c r="X28" i="58"/>
  <c r="X41" i="58"/>
  <c r="AF45" i="58"/>
  <c r="V12" i="83"/>
  <c r="AF12" i="83" s="1"/>
  <c r="G54" i="83"/>
  <c r="G55" i="83" s="1"/>
  <c r="H14" i="83"/>
  <c r="W14" i="83" s="1"/>
  <c r="AI14" i="83" s="1"/>
  <c r="AB12" i="83"/>
  <c r="O13" i="83"/>
  <c r="H52" i="83"/>
  <c r="W51" i="83"/>
  <c r="AI51" i="83" s="1"/>
  <c r="P12" i="83"/>
  <c r="AC11" i="83"/>
  <c r="G14" i="83"/>
  <c r="V13" i="83"/>
  <c r="AF13" i="83" s="1"/>
  <c r="AB53" i="83"/>
  <c r="AL53" i="83" s="1"/>
  <c r="O54" i="83"/>
  <c r="P54" i="83"/>
  <c r="AC53" i="83"/>
  <c r="AO53" i="83" s="1"/>
  <c r="AF53" i="58"/>
  <c r="X29" i="58"/>
  <c r="X25" i="58"/>
  <c r="X26" i="58"/>
  <c r="X27" i="58"/>
  <c r="X31" i="58"/>
  <c r="V54" i="83" l="1"/>
  <c r="AF54" i="83" s="1"/>
  <c r="H15" i="83"/>
  <c r="W15" i="83" s="1"/>
  <c r="AI15" i="83" s="1"/>
  <c r="O14" i="83"/>
  <c r="AB13" i="83"/>
  <c r="V55" i="83"/>
  <c r="AF55" i="83" s="1"/>
  <c r="G56" i="83"/>
  <c r="AB54" i="83"/>
  <c r="AL54" i="83" s="1"/>
  <c r="O55" i="83"/>
  <c r="V14" i="83"/>
  <c r="AF14" i="83" s="1"/>
  <c r="G15" i="83"/>
  <c r="P13" i="83"/>
  <c r="AC12" i="83"/>
  <c r="AC54" i="83"/>
  <c r="AO54" i="83" s="1"/>
  <c r="P55" i="83"/>
  <c r="H53" i="83"/>
  <c r="W52" i="83"/>
  <c r="AI52" i="83" s="1"/>
  <c r="M7" i="82"/>
  <c r="M8" i="82"/>
  <c r="M9" i="82"/>
  <c r="M10" i="82"/>
  <c r="M11" i="82"/>
  <c r="M12" i="82"/>
  <c r="M13" i="82"/>
  <c r="M14" i="82"/>
  <c r="M15" i="82"/>
  <c r="M16" i="82"/>
  <c r="M17" i="82"/>
  <c r="M18" i="82"/>
  <c r="M19" i="82"/>
  <c r="M20" i="82"/>
  <c r="M21" i="82"/>
  <c r="M22" i="82"/>
  <c r="M23" i="82"/>
  <c r="M24" i="82"/>
  <c r="M25" i="82"/>
  <c r="M26" i="82"/>
  <c r="M27" i="82"/>
  <c r="M28" i="82"/>
  <c r="M29" i="82"/>
  <c r="M30" i="82"/>
  <c r="M31" i="82"/>
  <c r="M32" i="82"/>
  <c r="M33" i="82"/>
  <c r="M34" i="82"/>
  <c r="M35" i="82"/>
  <c r="M36" i="82"/>
  <c r="M37" i="82"/>
  <c r="M38" i="82"/>
  <c r="M39" i="82"/>
  <c r="M40" i="82"/>
  <c r="M41" i="82"/>
  <c r="M42" i="82"/>
  <c r="O7" i="82"/>
  <c r="S7" i="82" s="1"/>
  <c r="AI22" i="58"/>
  <c r="O36" i="75"/>
  <c r="M35" i="75"/>
  <c r="N35" i="75" s="1"/>
  <c r="M36" i="75"/>
  <c r="N36" i="75" s="1"/>
  <c r="H16" i="83" l="1"/>
  <c r="W16" i="83" s="1"/>
  <c r="AI16" i="83" s="1"/>
  <c r="O15" i="83"/>
  <c r="AB14" i="83"/>
  <c r="O56" i="83"/>
  <c r="AB55" i="83"/>
  <c r="AL55" i="83" s="1"/>
  <c r="P56" i="83"/>
  <c r="AC55" i="83"/>
  <c r="AO55" i="83" s="1"/>
  <c r="V15" i="83"/>
  <c r="AF15" i="83" s="1"/>
  <c r="G16" i="83"/>
  <c r="G57" i="83"/>
  <c r="V56" i="83"/>
  <c r="AF56" i="83" s="1"/>
  <c r="AC13" i="83"/>
  <c r="P14" i="83"/>
  <c r="W53" i="83"/>
  <c r="AI53" i="83" s="1"/>
  <c r="H54" i="83"/>
  <c r="Q12" i="75"/>
  <c r="AC26" i="58"/>
  <c r="H17" i="83" l="1"/>
  <c r="H18" i="83" s="1"/>
  <c r="AB15" i="83"/>
  <c r="O16" i="83"/>
  <c r="G17" i="83"/>
  <c r="V16" i="83"/>
  <c r="AF16" i="83" s="1"/>
  <c r="H55" i="83"/>
  <c r="W54" i="83"/>
  <c r="AI54" i="83" s="1"/>
  <c r="P57" i="83"/>
  <c r="AC56" i="83"/>
  <c r="AO56" i="83" s="1"/>
  <c r="G58" i="83"/>
  <c r="V57" i="83"/>
  <c r="AF57" i="83" s="1"/>
  <c r="P15" i="83"/>
  <c r="AC14" i="83"/>
  <c r="O57" i="83"/>
  <c r="AB56" i="83"/>
  <c r="AL56" i="83" s="1"/>
  <c r="AB25" i="58"/>
  <c r="AC32" i="58"/>
  <c r="AC31" i="58"/>
  <c r="AC30" i="58"/>
  <c r="AC29" i="58"/>
  <c r="AC28" i="58"/>
  <c r="AC27" i="58"/>
  <c r="AF27" i="58" s="1"/>
  <c r="AF25" i="58"/>
  <c r="P20" i="72"/>
  <c r="O20" i="72"/>
  <c r="P19" i="72"/>
  <c r="O19" i="72"/>
  <c r="P18" i="72"/>
  <c r="O18" i="72"/>
  <c r="P17" i="72"/>
  <c r="O17" i="72"/>
  <c r="P16" i="72"/>
  <c r="O16" i="72"/>
  <c r="P15" i="72"/>
  <c r="O15" i="72"/>
  <c r="W17" i="83" l="1"/>
  <c r="AI17" i="83" s="1"/>
  <c r="O17" i="83"/>
  <c r="AB16" i="83"/>
  <c r="AC57" i="83"/>
  <c r="AO57" i="83" s="1"/>
  <c r="P58" i="83"/>
  <c r="AC58" i="83" s="1"/>
  <c r="AO58" i="83" s="1"/>
  <c r="H56" i="83"/>
  <c r="W55" i="83"/>
  <c r="AI55" i="83" s="1"/>
  <c r="V58" i="83"/>
  <c r="AF58" i="83" s="1"/>
  <c r="G59" i="83"/>
  <c r="AB57" i="83"/>
  <c r="AL57" i="83" s="1"/>
  <c r="O58" i="83"/>
  <c r="AB58" i="83" s="1"/>
  <c r="AL58" i="83" s="1"/>
  <c r="W18" i="83"/>
  <c r="AI18" i="83" s="1"/>
  <c r="H19" i="83"/>
  <c r="AC15" i="83"/>
  <c r="P16" i="83"/>
  <c r="G18" i="83"/>
  <c r="V17" i="83"/>
  <c r="AF17" i="83" s="1"/>
  <c r="N16" i="72"/>
  <c r="N17" i="72"/>
  <c r="N18" i="72"/>
  <c r="N19" i="72"/>
  <c r="N20" i="72"/>
  <c r="N15" i="72"/>
  <c r="AB17" i="83" l="1"/>
  <c r="O18" i="83"/>
  <c r="W19" i="83"/>
  <c r="AI19" i="83" s="1"/>
  <c r="H20" i="83"/>
  <c r="G60" i="83"/>
  <c r="V59" i="83"/>
  <c r="AF59" i="83" s="1"/>
  <c r="W56" i="83"/>
  <c r="AI56" i="83" s="1"/>
  <c r="H57" i="83"/>
  <c r="G19" i="83"/>
  <c r="V18" i="83"/>
  <c r="AF18" i="83" s="1"/>
  <c r="P17" i="83"/>
  <c r="AC16" i="83"/>
  <c r="M53" i="19"/>
  <c r="N53" i="19"/>
  <c r="B57" i="75"/>
  <c r="F19" i="75"/>
  <c r="B54" i="75"/>
  <c r="Q54" i="75" s="1"/>
  <c r="B55" i="75"/>
  <c r="B56" i="75"/>
  <c r="B58" i="75"/>
  <c r="B59" i="75"/>
  <c r="B60" i="75"/>
  <c r="B61" i="75"/>
  <c r="B53" i="75"/>
  <c r="B38" i="75"/>
  <c r="Q38" i="75" s="1"/>
  <c r="F36" i="75"/>
  <c r="E37" i="75" s="1"/>
  <c r="F37" i="75"/>
  <c r="F38" i="75"/>
  <c r="F39" i="75"/>
  <c r="F40" i="75"/>
  <c r="F41" i="75"/>
  <c r="F42" i="75"/>
  <c r="F43" i="75"/>
  <c r="F35" i="75"/>
  <c r="F60" i="75"/>
  <c r="E61" i="75" s="1"/>
  <c r="R61" i="75" s="1"/>
  <c r="F59" i="75"/>
  <c r="E60" i="75" s="1"/>
  <c r="R60" i="75" s="1"/>
  <c r="F58" i="75"/>
  <c r="E59" i="75" s="1"/>
  <c r="F57" i="75"/>
  <c r="E58" i="75" s="1"/>
  <c r="F56" i="75"/>
  <c r="E57" i="75" s="1"/>
  <c r="R57" i="75" s="1"/>
  <c r="F55" i="75"/>
  <c r="E56" i="75" s="1"/>
  <c r="F54" i="75"/>
  <c r="E55" i="75" s="1"/>
  <c r="R55" i="75" s="1"/>
  <c r="S61" i="75"/>
  <c r="S60" i="75"/>
  <c r="S59" i="75"/>
  <c r="S58" i="75"/>
  <c r="S57" i="75"/>
  <c r="S56" i="75"/>
  <c r="S55" i="75"/>
  <c r="S54" i="75"/>
  <c r="S53" i="75"/>
  <c r="S52" i="75"/>
  <c r="Q52" i="75"/>
  <c r="F53" i="75"/>
  <c r="E54" i="75" s="1"/>
  <c r="F52" i="75"/>
  <c r="E53" i="75" s="1"/>
  <c r="B44" i="75"/>
  <c r="Q44" i="75" s="1"/>
  <c r="B43" i="75"/>
  <c r="Q43" i="75" s="1"/>
  <c r="B42" i="75"/>
  <c r="Q42" i="75" s="1"/>
  <c r="B41" i="75"/>
  <c r="Q41" i="75" s="1"/>
  <c r="B40" i="75"/>
  <c r="Q40" i="75" s="1"/>
  <c r="B39" i="75"/>
  <c r="Q39" i="75" s="1"/>
  <c r="B37" i="75"/>
  <c r="B36" i="75"/>
  <c r="Q36" i="75" s="1"/>
  <c r="Q37" i="75"/>
  <c r="S44" i="75"/>
  <c r="S43" i="75"/>
  <c r="S42" i="75"/>
  <c r="S41" i="75"/>
  <c r="S40" i="75"/>
  <c r="S39" i="75"/>
  <c r="S38" i="75"/>
  <c r="S37" i="75"/>
  <c r="S36" i="75"/>
  <c r="S35" i="75"/>
  <c r="Q35" i="75"/>
  <c r="O19" i="83" l="1"/>
  <c r="AB18" i="83"/>
  <c r="G61" i="83"/>
  <c r="V60" i="83"/>
  <c r="AF60" i="83" s="1"/>
  <c r="H21" i="83"/>
  <c r="W20" i="83"/>
  <c r="AI20" i="83" s="1"/>
  <c r="P18" i="83"/>
  <c r="AC17" i="83"/>
  <c r="V19" i="83"/>
  <c r="AF19" i="83" s="1"/>
  <c r="G20" i="83"/>
  <c r="H58" i="83"/>
  <c r="W57" i="83"/>
  <c r="AI57" i="83" s="1"/>
  <c r="R53" i="75"/>
  <c r="R58" i="75"/>
  <c r="R56" i="75"/>
  <c r="R52" i="75"/>
  <c r="R54" i="75"/>
  <c r="R59" i="75"/>
  <c r="F18" i="75"/>
  <c r="M19" i="75"/>
  <c r="N19" i="75" s="1"/>
  <c r="O19" i="75"/>
  <c r="S19" i="75"/>
  <c r="E21" i="75"/>
  <c r="R21" i="75" s="1"/>
  <c r="E22" i="75"/>
  <c r="R22" i="75" s="1"/>
  <c r="E23" i="75"/>
  <c r="R23" i="75" s="1"/>
  <c r="E24" i="75"/>
  <c r="R24" i="75" s="1"/>
  <c r="E25" i="75"/>
  <c r="R25" i="75" s="1"/>
  <c r="E26" i="75"/>
  <c r="R26" i="75" s="1"/>
  <c r="E27" i="75"/>
  <c r="R27" i="75" s="1"/>
  <c r="E20" i="75"/>
  <c r="R20" i="75" s="1"/>
  <c r="B27" i="75"/>
  <c r="B26" i="75"/>
  <c r="B25" i="75"/>
  <c r="B24" i="75"/>
  <c r="B23" i="75"/>
  <c r="B22" i="75"/>
  <c r="B21" i="75"/>
  <c r="B20" i="75"/>
  <c r="B19" i="75"/>
  <c r="Q19" i="75" s="1"/>
  <c r="AB19" i="83" l="1"/>
  <c r="O20" i="83"/>
  <c r="H59" i="83"/>
  <c r="W58" i="83"/>
  <c r="AI58" i="83" s="1"/>
  <c r="G21" i="83"/>
  <c r="V20" i="83"/>
  <c r="AF20" i="83" s="1"/>
  <c r="P19" i="83"/>
  <c r="AC18" i="83"/>
  <c r="H22" i="83"/>
  <c r="W21" i="83"/>
  <c r="AI21" i="83" s="1"/>
  <c r="V61" i="83"/>
  <c r="AF61" i="83" s="1"/>
  <c r="G62" i="83"/>
  <c r="E19" i="75"/>
  <c r="R19" i="75" s="1"/>
  <c r="R18" i="75"/>
  <c r="O54" i="31"/>
  <c r="P54" i="31"/>
  <c r="U42" i="82"/>
  <c r="U40" i="82"/>
  <c r="U38" i="82"/>
  <c r="U36" i="82"/>
  <c r="U34" i="82"/>
  <c r="U32" i="82"/>
  <c r="U30" i="82"/>
  <c r="U28" i="82"/>
  <c r="U26" i="82"/>
  <c r="U24" i="82"/>
  <c r="U22" i="82"/>
  <c r="U20" i="82"/>
  <c r="U18" i="82"/>
  <c r="U16" i="82"/>
  <c r="U14" i="82"/>
  <c r="U12" i="82"/>
  <c r="U10" i="82"/>
  <c r="U8" i="82"/>
  <c r="R42" i="82"/>
  <c r="R40" i="82"/>
  <c r="R38" i="82"/>
  <c r="R36" i="82"/>
  <c r="R34" i="82"/>
  <c r="R32" i="82"/>
  <c r="R30" i="82"/>
  <c r="R28" i="82"/>
  <c r="R26" i="82"/>
  <c r="R24" i="82"/>
  <c r="R22" i="82"/>
  <c r="R20" i="82"/>
  <c r="R18" i="82"/>
  <c r="R16" i="82"/>
  <c r="R14" i="82"/>
  <c r="R12" i="82"/>
  <c r="R10" i="82"/>
  <c r="R8" i="82"/>
  <c r="O21" i="83" l="1"/>
  <c r="AB20" i="83"/>
  <c r="G63" i="83"/>
  <c r="V62" i="83"/>
  <c r="AF62" i="83" s="1"/>
  <c r="W22" i="83"/>
  <c r="AI22" i="83" s="1"/>
  <c r="H23" i="83"/>
  <c r="AC19" i="83"/>
  <c r="P20" i="83"/>
  <c r="G22" i="83"/>
  <c r="V21" i="83"/>
  <c r="AF21" i="83" s="1"/>
  <c r="W59" i="83"/>
  <c r="AI59" i="83" s="1"/>
  <c r="H60" i="83"/>
  <c r="AB21" i="83" l="1"/>
  <c r="O22" i="83"/>
  <c r="H61" i="83"/>
  <c r="W60" i="83"/>
  <c r="AI60" i="83" s="1"/>
  <c r="G23" i="83"/>
  <c r="V22" i="83"/>
  <c r="AF22" i="83" s="1"/>
  <c r="P21" i="83"/>
  <c r="AC20" i="83"/>
  <c r="H24" i="83"/>
  <c r="W23" i="83"/>
  <c r="AI23" i="83" s="1"/>
  <c r="G64" i="83"/>
  <c r="V63" i="83"/>
  <c r="AF63" i="83" s="1"/>
  <c r="H48" i="82"/>
  <c r="H49" i="82" s="1"/>
  <c r="H50" i="82" s="1"/>
  <c r="H51" i="82" s="1"/>
  <c r="H52" i="82" s="1"/>
  <c r="H53" i="82" s="1"/>
  <c r="H54" i="82" s="1"/>
  <c r="H55" i="82" s="1"/>
  <c r="H56" i="82" s="1"/>
  <c r="H57" i="82" s="1"/>
  <c r="H58" i="82" s="1"/>
  <c r="G48" i="82"/>
  <c r="G49" i="82" s="1"/>
  <c r="G50" i="82" s="1"/>
  <c r="G51" i="82" s="1"/>
  <c r="G52" i="82" s="1"/>
  <c r="G53" i="82" s="1"/>
  <c r="G54" i="82" s="1"/>
  <c r="G55" i="82" s="1"/>
  <c r="G56" i="82" s="1"/>
  <c r="G57" i="82" s="1"/>
  <c r="G58" i="82" s="1"/>
  <c r="H8" i="82"/>
  <c r="H9" i="82" s="1"/>
  <c r="H10" i="82" s="1"/>
  <c r="H11" i="82" s="1"/>
  <c r="H12" i="82" s="1"/>
  <c r="H13" i="82" s="1"/>
  <c r="H14" i="82" s="1"/>
  <c r="H15" i="82" s="1"/>
  <c r="H16" i="82" s="1"/>
  <c r="H17" i="82" s="1"/>
  <c r="H18" i="82" s="1"/>
  <c r="H19" i="82" s="1"/>
  <c r="H20" i="82" s="1"/>
  <c r="H21" i="82" s="1"/>
  <c r="H22" i="82" s="1"/>
  <c r="H23" i="82" s="1"/>
  <c r="H24" i="82" s="1"/>
  <c r="H25" i="82" s="1"/>
  <c r="H26" i="82" s="1"/>
  <c r="H27" i="82" s="1"/>
  <c r="H28" i="82" s="1"/>
  <c r="H29" i="82" s="1"/>
  <c r="H30" i="82" s="1"/>
  <c r="H31" i="82" s="1"/>
  <c r="H32" i="82" s="1"/>
  <c r="H33" i="82" s="1"/>
  <c r="H34" i="82" s="1"/>
  <c r="H35" i="82" s="1"/>
  <c r="H36" i="82" s="1"/>
  <c r="H37" i="82" s="1"/>
  <c r="H38" i="82" s="1"/>
  <c r="H39" i="82" s="1"/>
  <c r="H40" i="82" s="1"/>
  <c r="H41" i="82" s="1"/>
  <c r="H42" i="82" s="1"/>
  <c r="G8" i="82"/>
  <c r="G9" i="82" s="1"/>
  <c r="G10" i="82" s="1"/>
  <c r="G11" i="82" s="1"/>
  <c r="G12" i="82" s="1"/>
  <c r="G13" i="82" s="1"/>
  <c r="G14" i="82" s="1"/>
  <c r="G15" i="82" s="1"/>
  <c r="G16" i="82" s="1"/>
  <c r="G17" i="82" s="1"/>
  <c r="G18" i="82" s="1"/>
  <c r="G19" i="82" s="1"/>
  <c r="G20" i="82" s="1"/>
  <c r="G21" i="82" s="1"/>
  <c r="G22" i="82" s="1"/>
  <c r="G23" i="82" s="1"/>
  <c r="G24" i="82" s="1"/>
  <c r="G25" i="82" s="1"/>
  <c r="G26" i="82" s="1"/>
  <c r="G27" i="82" s="1"/>
  <c r="G28" i="82" s="1"/>
  <c r="G29" i="82" s="1"/>
  <c r="G30" i="82" s="1"/>
  <c r="G31" i="82" s="1"/>
  <c r="G32" i="82" s="1"/>
  <c r="G33" i="82" s="1"/>
  <c r="G34" i="82" s="1"/>
  <c r="G35" i="82" s="1"/>
  <c r="G36" i="82" s="1"/>
  <c r="G37" i="82" s="1"/>
  <c r="G38" i="82" s="1"/>
  <c r="G39" i="82" s="1"/>
  <c r="G40" i="82" s="1"/>
  <c r="G41" i="82" s="1"/>
  <c r="G42" i="82" s="1"/>
  <c r="C46" i="78"/>
  <c r="C41" i="78"/>
  <c r="C33" i="78"/>
  <c r="O23" i="83" l="1"/>
  <c r="AB22" i="83"/>
  <c r="V64" i="83"/>
  <c r="AF64" i="83" s="1"/>
  <c r="G65" i="83"/>
  <c r="W24" i="83"/>
  <c r="AI24" i="83" s="1"/>
  <c r="H25" i="83"/>
  <c r="AC21" i="83"/>
  <c r="P22" i="83"/>
  <c r="V23" i="83"/>
  <c r="AF23" i="83" s="1"/>
  <c r="G24" i="83"/>
  <c r="H62" i="83"/>
  <c r="W61" i="83"/>
  <c r="AI61" i="83" s="1"/>
  <c r="L45" i="82"/>
  <c r="L5" i="82"/>
  <c r="C36" i="78"/>
  <c r="C37" i="78"/>
  <c r="C38" i="78"/>
  <c r="C39" i="78"/>
  <c r="C40" i="78"/>
  <c r="C43" i="78"/>
  <c r="C44" i="78"/>
  <c r="C45" i="78"/>
  <c r="C35" i="78"/>
  <c r="AB23" i="83" l="1"/>
  <c r="O24" i="83"/>
  <c r="G25" i="83"/>
  <c r="V24" i="83"/>
  <c r="AF24" i="83" s="1"/>
  <c r="W62" i="83"/>
  <c r="AI62" i="83" s="1"/>
  <c r="H63" i="83"/>
  <c r="AC22" i="83"/>
  <c r="P23" i="83"/>
  <c r="H26" i="83"/>
  <c r="W25" i="83"/>
  <c r="AI25" i="83" s="1"/>
  <c r="G66" i="83"/>
  <c r="V65" i="83"/>
  <c r="AF65" i="83" s="1"/>
  <c r="P58" i="82"/>
  <c r="V58" i="82" s="1"/>
  <c r="O58" i="82"/>
  <c r="S58" i="82" s="1"/>
  <c r="M58" i="82"/>
  <c r="P57" i="82"/>
  <c r="V57" i="82" s="1"/>
  <c r="O57" i="82"/>
  <c r="S57" i="82" s="1"/>
  <c r="M57" i="82"/>
  <c r="P56" i="82"/>
  <c r="V56" i="82" s="1"/>
  <c r="O56" i="82"/>
  <c r="S56" i="82" s="1"/>
  <c r="M56" i="82"/>
  <c r="P55" i="82"/>
  <c r="V55" i="82" s="1"/>
  <c r="O55" i="82"/>
  <c r="S55" i="82" s="1"/>
  <c r="M55" i="82"/>
  <c r="P54" i="82"/>
  <c r="V54" i="82" s="1"/>
  <c r="O54" i="82"/>
  <c r="S54" i="82" s="1"/>
  <c r="M54" i="82"/>
  <c r="P53" i="82"/>
  <c r="V53" i="82" s="1"/>
  <c r="O53" i="82"/>
  <c r="S53" i="82" s="1"/>
  <c r="M53" i="82"/>
  <c r="P52" i="82"/>
  <c r="V52" i="82" s="1"/>
  <c r="O52" i="82"/>
  <c r="S52" i="82" s="1"/>
  <c r="M52" i="82"/>
  <c r="P51" i="82"/>
  <c r="V51" i="82" s="1"/>
  <c r="O51" i="82"/>
  <c r="S51" i="82" s="1"/>
  <c r="M51" i="82"/>
  <c r="P50" i="82"/>
  <c r="V50" i="82" s="1"/>
  <c r="O50" i="82"/>
  <c r="S50" i="82" s="1"/>
  <c r="M50" i="82"/>
  <c r="P49" i="82"/>
  <c r="V49" i="82" s="1"/>
  <c r="O49" i="82"/>
  <c r="S49" i="82" s="1"/>
  <c r="M49" i="82"/>
  <c r="P48" i="82"/>
  <c r="V48" i="82" s="1"/>
  <c r="O48" i="82"/>
  <c r="S48" i="82" s="1"/>
  <c r="M48" i="82"/>
  <c r="P47" i="82"/>
  <c r="V47" i="82" s="1"/>
  <c r="O47" i="82"/>
  <c r="S47" i="82" s="1"/>
  <c r="M47" i="82"/>
  <c r="P42" i="82"/>
  <c r="V42" i="82" s="1"/>
  <c r="O42" i="82"/>
  <c r="S42" i="82" s="1"/>
  <c r="P41" i="82"/>
  <c r="V41" i="82" s="1"/>
  <c r="O41" i="82"/>
  <c r="S41" i="82" s="1"/>
  <c r="P40" i="82"/>
  <c r="V40" i="82" s="1"/>
  <c r="O40" i="82"/>
  <c r="S40" i="82" s="1"/>
  <c r="P39" i="82"/>
  <c r="V39" i="82" s="1"/>
  <c r="O39" i="82"/>
  <c r="S39" i="82" s="1"/>
  <c r="P38" i="82"/>
  <c r="V38" i="82" s="1"/>
  <c r="O38" i="82"/>
  <c r="S38" i="82" s="1"/>
  <c r="P37" i="82"/>
  <c r="V37" i="82" s="1"/>
  <c r="O37" i="82"/>
  <c r="S37" i="82" s="1"/>
  <c r="P36" i="82"/>
  <c r="V36" i="82" s="1"/>
  <c r="O36" i="82"/>
  <c r="S36" i="82" s="1"/>
  <c r="P35" i="82"/>
  <c r="V35" i="82" s="1"/>
  <c r="O35" i="82"/>
  <c r="S35" i="82" s="1"/>
  <c r="P34" i="82"/>
  <c r="V34" i="82" s="1"/>
  <c r="O34" i="82"/>
  <c r="S34" i="82" s="1"/>
  <c r="P33" i="82"/>
  <c r="V33" i="82" s="1"/>
  <c r="O33" i="82"/>
  <c r="S33" i="82" s="1"/>
  <c r="P32" i="82"/>
  <c r="V32" i="82" s="1"/>
  <c r="O32" i="82"/>
  <c r="S32" i="82" s="1"/>
  <c r="P31" i="82"/>
  <c r="V31" i="82" s="1"/>
  <c r="O31" i="82"/>
  <c r="S31" i="82" s="1"/>
  <c r="P30" i="82"/>
  <c r="V30" i="82" s="1"/>
  <c r="O30" i="82"/>
  <c r="S30" i="82" s="1"/>
  <c r="P29" i="82"/>
  <c r="V29" i="82" s="1"/>
  <c r="O29" i="82"/>
  <c r="S29" i="82" s="1"/>
  <c r="P28" i="82"/>
  <c r="V28" i="82" s="1"/>
  <c r="O28" i="82"/>
  <c r="S28" i="82" s="1"/>
  <c r="P27" i="82"/>
  <c r="V27" i="82" s="1"/>
  <c r="O27" i="82"/>
  <c r="S27" i="82" s="1"/>
  <c r="P26" i="82"/>
  <c r="V26" i="82" s="1"/>
  <c r="O26" i="82"/>
  <c r="S26" i="82" s="1"/>
  <c r="P25" i="82"/>
  <c r="V25" i="82" s="1"/>
  <c r="O25" i="82"/>
  <c r="S25" i="82" s="1"/>
  <c r="P24" i="82"/>
  <c r="V24" i="82" s="1"/>
  <c r="O24" i="82"/>
  <c r="S24" i="82" s="1"/>
  <c r="P23" i="82"/>
  <c r="V23" i="82" s="1"/>
  <c r="O23" i="82"/>
  <c r="S23" i="82" s="1"/>
  <c r="P22" i="82"/>
  <c r="V22" i="82" s="1"/>
  <c r="O22" i="82"/>
  <c r="S22" i="82" s="1"/>
  <c r="P21" i="82"/>
  <c r="V21" i="82" s="1"/>
  <c r="O21" i="82"/>
  <c r="S21" i="82" s="1"/>
  <c r="P20" i="82"/>
  <c r="V20" i="82" s="1"/>
  <c r="O20" i="82"/>
  <c r="S20" i="82" s="1"/>
  <c r="P19" i="82"/>
  <c r="V19" i="82" s="1"/>
  <c r="O19" i="82"/>
  <c r="S19" i="82" s="1"/>
  <c r="P18" i="82"/>
  <c r="V18" i="82" s="1"/>
  <c r="O18" i="82"/>
  <c r="S18" i="82" s="1"/>
  <c r="P17" i="82"/>
  <c r="V17" i="82" s="1"/>
  <c r="O17" i="82"/>
  <c r="S17" i="82" s="1"/>
  <c r="P16" i="82"/>
  <c r="V16" i="82" s="1"/>
  <c r="O16" i="82"/>
  <c r="S16" i="82" s="1"/>
  <c r="P15" i="82"/>
  <c r="V15" i="82" s="1"/>
  <c r="O15" i="82"/>
  <c r="S15" i="82" s="1"/>
  <c r="P14" i="82"/>
  <c r="V14" i="82" s="1"/>
  <c r="O14" i="82"/>
  <c r="S14" i="82" s="1"/>
  <c r="P13" i="82"/>
  <c r="V13" i="82" s="1"/>
  <c r="O13" i="82"/>
  <c r="S13" i="82" s="1"/>
  <c r="P12" i="82"/>
  <c r="V12" i="82" s="1"/>
  <c r="O12" i="82"/>
  <c r="S12" i="82" s="1"/>
  <c r="P11" i="82"/>
  <c r="V11" i="82" s="1"/>
  <c r="O11" i="82"/>
  <c r="S11" i="82" s="1"/>
  <c r="P10" i="82"/>
  <c r="V10" i="82" s="1"/>
  <c r="O10" i="82"/>
  <c r="S10" i="82" s="1"/>
  <c r="P9" i="82"/>
  <c r="V9" i="82" s="1"/>
  <c r="O9" i="82"/>
  <c r="S9" i="82" s="1"/>
  <c r="P8" i="82"/>
  <c r="V8" i="82" s="1"/>
  <c r="O8" i="82"/>
  <c r="S8" i="82" s="1"/>
  <c r="P7" i="82"/>
  <c r="V7" i="82" s="1"/>
  <c r="AB24" i="83" l="1"/>
  <c r="O25" i="83"/>
  <c r="W26" i="83"/>
  <c r="AI26" i="83" s="1"/>
  <c r="H27" i="83"/>
  <c r="G67" i="83"/>
  <c r="V66" i="83"/>
  <c r="AF66" i="83" s="1"/>
  <c r="P24" i="83"/>
  <c r="AC23" i="83"/>
  <c r="H64" i="83"/>
  <c r="W63" i="83"/>
  <c r="AI63" i="83" s="1"/>
  <c r="G26" i="83"/>
  <c r="V25" i="83"/>
  <c r="AF25" i="83" s="1"/>
  <c r="AF19" i="79"/>
  <c r="AE19" i="79"/>
  <c r="Z19" i="79"/>
  <c r="Z20" i="79"/>
  <c r="Z21" i="79"/>
  <c r="Z22" i="79"/>
  <c r="Z23" i="79"/>
  <c r="Z24" i="79"/>
  <c r="Z25" i="79"/>
  <c r="Z26" i="79"/>
  <c r="Z27" i="79"/>
  <c r="Z28" i="79"/>
  <c r="Z29" i="79"/>
  <c r="Z30" i="79"/>
  <c r="Z31" i="79"/>
  <c r="Z32" i="79"/>
  <c r="Z33" i="79"/>
  <c r="Z34" i="79"/>
  <c r="Z35" i="79"/>
  <c r="Z36" i="79"/>
  <c r="Z37" i="79"/>
  <c r="Z38" i="79"/>
  <c r="Z39" i="79"/>
  <c r="Z40" i="79"/>
  <c r="Z41" i="79"/>
  <c r="Z42" i="79"/>
  <c r="Z43" i="79"/>
  <c r="AF42" i="79"/>
  <c r="AE42" i="79"/>
  <c r="V42" i="79"/>
  <c r="N42" i="79"/>
  <c r="AF41" i="79"/>
  <c r="AE41" i="79"/>
  <c r="V41" i="79"/>
  <c r="N41" i="79"/>
  <c r="AF40" i="79"/>
  <c r="AE40" i="79"/>
  <c r="V40" i="79"/>
  <c r="N40" i="79"/>
  <c r="AF39" i="79"/>
  <c r="AE39" i="79"/>
  <c r="V39" i="79"/>
  <c r="N39" i="79"/>
  <c r="AF38" i="79"/>
  <c r="AE38" i="79"/>
  <c r="V38" i="79"/>
  <c r="N38" i="79"/>
  <c r="AF37" i="79"/>
  <c r="AE37" i="79"/>
  <c r="V37" i="79"/>
  <c r="N37" i="79"/>
  <c r="AF36" i="79"/>
  <c r="AE36" i="79"/>
  <c r="V36" i="79"/>
  <c r="N36" i="79"/>
  <c r="AF35" i="79"/>
  <c r="AE35" i="79"/>
  <c r="V35" i="79"/>
  <c r="N35" i="79"/>
  <c r="AF34" i="79"/>
  <c r="AE34" i="79"/>
  <c r="V34" i="79"/>
  <c r="N34" i="79"/>
  <c r="AF33" i="79"/>
  <c r="AE33" i="79"/>
  <c r="V33" i="79"/>
  <c r="N33" i="79"/>
  <c r="AF32" i="79"/>
  <c r="AE32" i="79"/>
  <c r="V32" i="79"/>
  <c r="N32" i="79"/>
  <c r="AF31" i="79"/>
  <c r="AE31" i="79"/>
  <c r="V31" i="79"/>
  <c r="N31" i="79"/>
  <c r="AF30" i="79"/>
  <c r="AE30" i="79"/>
  <c r="V30" i="79"/>
  <c r="N30" i="79"/>
  <c r="AF29" i="79"/>
  <c r="AE29" i="79"/>
  <c r="V29" i="79"/>
  <c r="N29" i="79"/>
  <c r="AF28" i="79"/>
  <c r="AE28" i="79"/>
  <c r="V28" i="79"/>
  <c r="N28" i="79"/>
  <c r="AF27" i="79"/>
  <c r="AE27" i="79"/>
  <c r="V27" i="79"/>
  <c r="N27" i="79"/>
  <c r="AF26" i="79"/>
  <c r="AE26" i="79"/>
  <c r="V26" i="79"/>
  <c r="N26" i="79"/>
  <c r="AF25" i="79"/>
  <c r="AE25" i="79"/>
  <c r="V25" i="79"/>
  <c r="N25" i="79"/>
  <c r="AF24" i="79"/>
  <c r="AE24" i="79"/>
  <c r="V24" i="79"/>
  <c r="N24" i="79"/>
  <c r="AF23" i="79"/>
  <c r="AE23" i="79"/>
  <c r="V23" i="79"/>
  <c r="N23" i="79"/>
  <c r="AF22" i="79"/>
  <c r="AE22" i="79"/>
  <c r="V22" i="79"/>
  <c r="N22" i="79"/>
  <c r="AF21" i="79"/>
  <c r="AE21" i="79"/>
  <c r="V21" i="79"/>
  <c r="N21" i="79"/>
  <c r="AF20" i="79"/>
  <c r="AE20" i="79"/>
  <c r="V20" i="79"/>
  <c r="N20" i="79"/>
  <c r="V19" i="79"/>
  <c r="N19" i="79"/>
  <c r="AA78" i="79"/>
  <c r="Z78" i="79"/>
  <c r="AA77" i="79"/>
  <c r="Z77" i="79"/>
  <c r="AA76" i="79"/>
  <c r="Z76" i="79"/>
  <c r="AA75" i="79"/>
  <c r="Z75" i="79"/>
  <c r="AA74" i="79"/>
  <c r="Z74" i="79"/>
  <c r="AA73" i="79"/>
  <c r="Z73" i="79"/>
  <c r="AA72" i="79"/>
  <c r="Z72" i="79"/>
  <c r="AA71" i="79"/>
  <c r="Z71" i="79"/>
  <c r="AA70" i="79"/>
  <c r="Z70" i="79"/>
  <c r="AA69" i="79"/>
  <c r="Z69" i="79"/>
  <c r="AA68" i="79"/>
  <c r="Z68" i="79"/>
  <c r="AA67" i="79"/>
  <c r="Z67" i="79"/>
  <c r="AA66" i="79"/>
  <c r="Z66" i="79"/>
  <c r="AA65" i="79"/>
  <c r="Z65" i="79"/>
  <c r="AA64" i="79"/>
  <c r="Z64" i="79"/>
  <c r="AA63" i="79"/>
  <c r="Z63" i="79"/>
  <c r="AA62" i="79"/>
  <c r="Z62" i="79"/>
  <c r="AA61" i="79"/>
  <c r="Z61" i="79"/>
  <c r="AA60" i="79"/>
  <c r="Z60" i="79"/>
  <c r="AA59" i="79"/>
  <c r="Z59" i="79"/>
  <c r="AA58" i="79"/>
  <c r="Z58" i="79"/>
  <c r="AA57" i="79"/>
  <c r="Z57" i="79"/>
  <c r="AA56" i="79"/>
  <c r="Z56" i="79"/>
  <c r="AA55" i="79"/>
  <c r="Z55" i="79"/>
  <c r="AA54" i="79"/>
  <c r="Z54" i="79"/>
  <c r="AA53" i="79"/>
  <c r="Z53" i="79"/>
  <c r="AA52" i="79"/>
  <c r="Z52" i="79"/>
  <c r="AA51" i="79"/>
  <c r="Z51" i="79"/>
  <c r="AA50" i="79"/>
  <c r="Z50" i="79"/>
  <c r="AA49" i="79"/>
  <c r="Z49" i="79"/>
  <c r="AA48" i="79"/>
  <c r="Z48" i="79"/>
  <c r="AA47" i="79"/>
  <c r="Z47" i="79"/>
  <c r="AA46" i="79"/>
  <c r="Z46" i="79"/>
  <c r="AA45" i="79"/>
  <c r="Z45" i="79"/>
  <c r="AA44" i="79"/>
  <c r="Z44" i="79"/>
  <c r="AA43" i="79"/>
  <c r="AA42" i="79"/>
  <c r="AA41" i="79"/>
  <c r="AA40" i="79"/>
  <c r="AA39" i="79"/>
  <c r="AA38" i="79"/>
  <c r="AA37" i="79"/>
  <c r="AA36" i="79"/>
  <c r="AA35" i="79"/>
  <c r="AA34" i="79"/>
  <c r="AA33" i="79"/>
  <c r="AA32" i="79"/>
  <c r="AA31" i="79"/>
  <c r="AA30" i="79"/>
  <c r="AA29" i="79"/>
  <c r="AA28" i="79"/>
  <c r="AA27" i="79"/>
  <c r="AA26" i="79"/>
  <c r="AA25" i="79"/>
  <c r="AA24" i="79"/>
  <c r="AA23" i="79"/>
  <c r="AA22" i="79"/>
  <c r="AA21" i="79"/>
  <c r="AA20" i="79"/>
  <c r="AA19" i="79"/>
  <c r="X13" i="79"/>
  <c r="X12" i="79"/>
  <c r="N50" i="71"/>
  <c r="N48" i="71"/>
  <c r="N46" i="71"/>
  <c r="O26" i="83" l="1"/>
  <c r="AB25" i="83"/>
  <c r="G27" i="83"/>
  <c r="V26" i="83"/>
  <c r="AF26" i="83" s="1"/>
  <c r="H65" i="83"/>
  <c r="W64" i="83"/>
  <c r="AI64" i="83" s="1"/>
  <c r="P25" i="83"/>
  <c r="AC24" i="83"/>
  <c r="V67" i="83"/>
  <c r="AF67" i="83" s="1"/>
  <c r="G68" i="83"/>
  <c r="H28" i="83"/>
  <c r="W27" i="83"/>
  <c r="AI27" i="83" s="1"/>
  <c r="Q51" i="71"/>
  <c r="Q50" i="71"/>
  <c r="Q49" i="71"/>
  <c r="Q48" i="71"/>
  <c r="Q47" i="71"/>
  <c r="Q46" i="71"/>
  <c r="H51" i="71"/>
  <c r="I51" i="71" s="1"/>
  <c r="H50" i="71"/>
  <c r="I50" i="71" s="1"/>
  <c r="H49" i="71"/>
  <c r="I49" i="71" s="1"/>
  <c r="H48" i="71"/>
  <c r="I48" i="71" s="1"/>
  <c r="H47" i="71"/>
  <c r="I47" i="71" s="1"/>
  <c r="H46" i="71"/>
  <c r="I46" i="71" s="1"/>
  <c r="Q41" i="71"/>
  <c r="Q40" i="71"/>
  <c r="Q39" i="71"/>
  <c r="Q38" i="71"/>
  <c r="Q37" i="71"/>
  <c r="Q36" i="71"/>
  <c r="Q35" i="71"/>
  <c r="Q34" i="71"/>
  <c r="Q33" i="71"/>
  <c r="Q32" i="71"/>
  <c r="Q31" i="71"/>
  <c r="Q30" i="71"/>
  <c r="H41" i="71"/>
  <c r="I41" i="71" s="1"/>
  <c r="H40" i="71"/>
  <c r="I40" i="71" s="1"/>
  <c r="H39" i="71"/>
  <c r="I39" i="71" s="1"/>
  <c r="H38" i="71"/>
  <c r="I38" i="71" s="1"/>
  <c r="H37" i="71"/>
  <c r="I37" i="71" s="1"/>
  <c r="H36" i="71"/>
  <c r="I36" i="71" s="1"/>
  <c r="H35" i="71"/>
  <c r="I35" i="71" s="1"/>
  <c r="H34" i="71"/>
  <c r="I34" i="71" s="1"/>
  <c r="H33" i="71"/>
  <c r="I33" i="71" s="1"/>
  <c r="H32" i="71"/>
  <c r="I32" i="71" s="1"/>
  <c r="H31" i="71"/>
  <c r="I31" i="71" s="1"/>
  <c r="H30" i="71"/>
  <c r="I30" i="71" s="1"/>
  <c r="L18" i="71"/>
  <c r="N41" i="71"/>
  <c r="N40" i="71"/>
  <c r="N39" i="71"/>
  <c r="N38" i="71"/>
  <c r="N37" i="71"/>
  <c r="N36" i="71"/>
  <c r="N35" i="71"/>
  <c r="N34" i="71"/>
  <c r="N33" i="71"/>
  <c r="N32" i="71"/>
  <c r="N31" i="71"/>
  <c r="N30" i="71"/>
  <c r="M23" i="71"/>
  <c r="H19" i="71"/>
  <c r="I19" i="71" s="1"/>
  <c r="H20" i="71"/>
  <c r="I20" i="71" s="1"/>
  <c r="H21" i="71"/>
  <c r="I21" i="71" s="1"/>
  <c r="H22" i="71"/>
  <c r="I22" i="71" s="1"/>
  <c r="H23" i="71"/>
  <c r="I23" i="71" s="1"/>
  <c r="H18" i="71"/>
  <c r="I18" i="71" s="1"/>
  <c r="B23" i="71"/>
  <c r="L23" i="71" s="1"/>
  <c r="B20" i="71"/>
  <c r="L20" i="71" s="1"/>
  <c r="B21" i="71"/>
  <c r="L21" i="71" s="1"/>
  <c r="B22" i="71"/>
  <c r="L22" i="71" s="1"/>
  <c r="B19" i="71"/>
  <c r="L19" i="71" s="1"/>
  <c r="AB26" i="83" l="1"/>
  <c r="O27" i="83"/>
  <c r="G69" i="83"/>
  <c r="V68" i="83"/>
  <c r="AF68" i="83" s="1"/>
  <c r="W28" i="83"/>
  <c r="AI28" i="83" s="1"/>
  <c r="H29" i="83"/>
  <c r="AC25" i="83"/>
  <c r="P26" i="83"/>
  <c r="W65" i="83"/>
  <c r="AI65" i="83" s="1"/>
  <c r="H66" i="83"/>
  <c r="V27" i="83"/>
  <c r="AF27" i="83" s="1"/>
  <c r="G28" i="83"/>
  <c r="M22" i="71"/>
  <c r="M19" i="71"/>
  <c r="M20" i="71"/>
  <c r="M21" i="71"/>
  <c r="M18" i="71"/>
  <c r="L12" i="71"/>
  <c r="L13" i="71"/>
  <c r="L11" i="71"/>
  <c r="AB27" i="83" l="1"/>
  <c r="O28" i="83"/>
  <c r="H67" i="83"/>
  <c r="W66" i="83"/>
  <c r="AI66" i="83" s="1"/>
  <c r="P27" i="83"/>
  <c r="AC26" i="83"/>
  <c r="H30" i="83"/>
  <c r="W29" i="83"/>
  <c r="AI29" i="83" s="1"/>
  <c r="G29" i="83"/>
  <c r="V28" i="83"/>
  <c r="AF28" i="83" s="1"/>
  <c r="G70" i="83"/>
  <c r="V69" i="83"/>
  <c r="AF69" i="83" s="1"/>
  <c r="Z18" i="75"/>
  <c r="AB20" i="75"/>
  <c r="AB21" i="75"/>
  <c r="AB22" i="75"/>
  <c r="AB23" i="75"/>
  <c r="AB24" i="75"/>
  <c r="AB25" i="75"/>
  <c r="AB26" i="75"/>
  <c r="AB27" i="75"/>
  <c r="AB18" i="75"/>
  <c r="T36" i="30"/>
  <c r="O29" i="83" l="1"/>
  <c r="AB28" i="83"/>
  <c r="W30" i="83"/>
  <c r="AI30" i="83" s="1"/>
  <c r="H31" i="83"/>
  <c r="V70" i="83"/>
  <c r="AF70" i="83" s="1"/>
  <c r="G71" i="83"/>
  <c r="AC27" i="83"/>
  <c r="P28" i="83"/>
  <c r="G30" i="83"/>
  <c r="V29" i="83"/>
  <c r="AF29" i="83" s="1"/>
  <c r="H68" i="83"/>
  <c r="W67" i="83"/>
  <c r="AI67" i="83" s="1"/>
  <c r="R25" i="62"/>
  <c r="Q22" i="33"/>
  <c r="Q37" i="33"/>
  <c r="Q38" i="33"/>
  <c r="Q36" i="33"/>
  <c r="S17" i="31"/>
  <c r="S18" i="31"/>
  <c r="S19" i="31"/>
  <c r="S20" i="31"/>
  <c r="S21" i="31"/>
  <c r="S22" i="31"/>
  <c r="S23" i="31"/>
  <c r="S24" i="31"/>
  <c r="S25" i="31"/>
  <c r="S26" i="31"/>
  <c r="S27" i="31"/>
  <c r="S28" i="31"/>
  <c r="S29" i="31"/>
  <c r="S30" i="31"/>
  <c r="S31" i="31"/>
  <c r="S32" i="31"/>
  <c r="X24" i="53"/>
  <c r="Y28" i="53"/>
  <c r="AC28" i="53" s="1"/>
  <c r="P28" i="53" s="1"/>
  <c r="AB29" i="83" l="1"/>
  <c r="O30" i="83"/>
  <c r="W68" i="83"/>
  <c r="AI68" i="83" s="1"/>
  <c r="H69" i="83"/>
  <c r="G31" i="83"/>
  <c r="V30" i="83"/>
  <c r="AF30" i="83" s="1"/>
  <c r="AC28" i="83"/>
  <c r="P29" i="83"/>
  <c r="G72" i="83"/>
  <c r="V71" i="83"/>
  <c r="AF71" i="83" s="1"/>
  <c r="H32" i="83"/>
  <c r="W31" i="83"/>
  <c r="AI31" i="83" s="1"/>
  <c r="P17" i="29"/>
  <c r="P18" i="29"/>
  <c r="P19" i="29"/>
  <c r="P20" i="29"/>
  <c r="P21" i="29"/>
  <c r="P22" i="29"/>
  <c r="P23" i="29"/>
  <c r="P24" i="29"/>
  <c r="P25" i="29"/>
  <c r="P26" i="29"/>
  <c r="P27" i="29"/>
  <c r="P28" i="29"/>
  <c r="P29" i="29"/>
  <c r="P30" i="29"/>
  <c r="P31" i="29"/>
  <c r="P32" i="29"/>
  <c r="P33" i="29"/>
  <c r="P34" i="29"/>
  <c r="P35" i="29"/>
  <c r="P36" i="29"/>
  <c r="P37" i="29"/>
  <c r="P38" i="29"/>
  <c r="P39" i="29"/>
  <c r="P40" i="29"/>
  <c r="P41" i="29"/>
  <c r="P42" i="29"/>
  <c r="P43" i="29"/>
  <c r="P44" i="29"/>
  <c r="P45" i="29"/>
  <c r="P46" i="29"/>
  <c r="P47" i="29"/>
  <c r="P48" i="29"/>
  <c r="P49" i="29"/>
  <c r="P50" i="29"/>
  <c r="P51" i="29"/>
  <c r="P52" i="29"/>
  <c r="P53" i="29"/>
  <c r="P54" i="29"/>
  <c r="P55" i="29"/>
  <c r="P56" i="29"/>
  <c r="P57" i="29"/>
  <c r="P58" i="29"/>
  <c r="P59" i="29"/>
  <c r="P60" i="29"/>
  <c r="P61" i="29"/>
  <c r="P62" i="29"/>
  <c r="P63" i="29"/>
  <c r="P64" i="29"/>
  <c r="P65" i="29"/>
  <c r="P66" i="29"/>
  <c r="P67" i="29"/>
  <c r="P68" i="29"/>
  <c r="P69" i="29"/>
  <c r="P70" i="29"/>
  <c r="P71" i="29"/>
  <c r="P72" i="29"/>
  <c r="P73" i="29"/>
  <c r="P74" i="29"/>
  <c r="P75" i="29"/>
  <c r="P76" i="29"/>
  <c r="P77" i="29"/>
  <c r="P78" i="29"/>
  <c r="P79" i="29"/>
  <c r="P80" i="29"/>
  <c r="P81" i="29"/>
  <c r="P82" i="29"/>
  <c r="P83" i="29"/>
  <c r="P84" i="29"/>
  <c r="P85" i="29"/>
  <c r="P86" i="29"/>
  <c r="P87" i="29"/>
  <c r="P88" i="29"/>
  <c r="P89" i="29"/>
  <c r="P90" i="29"/>
  <c r="P91" i="29"/>
  <c r="P92" i="29"/>
  <c r="P93" i="29"/>
  <c r="P94" i="29"/>
  <c r="P95" i="29"/>
  <c r="P96" i="29"/>
  <c r="P97" i="29"/>
  <c r="P98" i="29"/>
  <c r="P99" i="29"/>
  <c r="P100" i="29"/>
  <c r="O31" i="83" l="1"/>
  <c r="AB30" i="83"/>
  <c r="V31" i="83"/>
  <c r="AF31" i="83" s="1"/>
  <c r="G32" i="83"/>
  <c r="H70" i="83"/>
  <c r="W69" i="83"/>
  <c r="AI69" i="83" s="1"/>
  <c r="W32" i="83"/>
  <c r="AI32" i="83" s="1"/>
  <c r="H33" i="83"/>
  <c r="G73" i="83"/>
  <c r="V72" i="83"/>
  <c r="AF72" i="83" s="1"/>
  <c r="P30" i="83"/>
  <c r="AC29" i="83"/>
  <c r="G23" i="56"/>
  <c r="M42" i="56"/>
  <c r="P42" i="56" s="1"/>
  <c r="Q42" i="56" s="1"/>
  <c r="M41" i="56"/>
  <c r="P41" i="56" s="1"/>
  <c r="Q41" i="56" s="1"/>
  <c r="M40" i="56"/>
  <c r="P40" i="56" s="1"/>
  <c r="Q40" i="56" s="1"/>
  <c r="M39" i="56"/>
  <c r="P39" i="56" s="1"/>
  <c r="Q39" i="56" s="1"/>
  <c r="M38" i="56"/>
  <c r="M37" i="56"/>
  <c r="M36" i="56"/>
  <c r="P36" i="56" s="1"/>
  <c r="Q36" i="56" s="1"/>
  <c r="M35" i="56"/>
  <c r="P35" i="56" s="1"/>
  <c r="Q35" i="56" s="1"/>
  <c r="M34" i="56"/>
  <c r="P34" i="56" s="1"/>
  <c r="Q34" i="56" s="1"/>
  <c r="M33" i="56"/>
  <c r="P33" i="56" s="1"/>
  <c r="Q33" i="56" s="1"/>
  <c r="M32" i="56"/>
  <c r="P32" i="56" s="1"/>
  <c r="Q32" i="56" s="1"/>
  <c r="M31" i="56"/>
  <c r="M30" i="56"/>
  <c r="P30" i="56" s="1"/>
  <c r="Q30" i="56" s="1"/>
  <c r="M29" i="56"/>
  <c r="P29" i="56" s="1"/>
  <c r="Q29" i="56" s="1"/>
  <c r="M28" i="56"/>
  <c r="P28" i="56" s="1"/>
  <c r="Q28" i="56" s="1"/>
  <c r="M27" i="56"/>
  <c r="P27" i="56" s="1"/>
  <c r="Q27" i="56" s="1"/>
  <c r="M26" i="56"/>
  <c r="P26" i="56" s="1"/>
  <c r="Q26" i="56" s="1"/>
  <c r="M25" i="56"/>
  <c r="P25" i="56" s="1"/>
  <c r="Q25" i="56" s="1"/>
  <c r="M24" i="56"/>
  <c r="P24" i="56" s="1"/>
  <c r="Q24" i="56" s="1"/>
  <c r="M23" i="56"/>
  <c r="P23" i="56" s="1"/>
  <c r="P38" i="56"/>
  <c r="Q38" i="56" s="1"/>
  <c r="P37" i="56"/>
  <c r="Q37" i="56" s="1"/>
  <c r="O35" i="60"/>
  <c r="R35" i="60" s="1"/>
  <c r="S35" i="60" s="1"/>
  <c r="O53" i="60"/>
  <c r="R53" i="60" s="1"/>
  <c r="S53" i="60" s="1"/>
  <c r="O52" i="60"/>
  <c r="R52" i="60" s="1"/>
  <c r="S52" i="60" s="1"/>
  <c r="O51" i="60"/>
  <c r="R51" i="60" s="1"/>
  <c r="S51" i="60" s="1"/>
  <c r="O50" i="60"/>
  <c r="R50" i="60" s="1"/>
  <c r="S50" i="60" s="1"/>
  <c r="O49" i="60"/>
  <c r="R49" i="60" s="1"/>
  <c r="S49" i="60" s="1"/>
  <c r="O48" i="60"/>
  <c r="R48" i="60" s="1"/>
  <c r="S48" i="60" s="1"/>
  <c r="O47" i="60"/>
  <c r="R47" i="60" s="1"/>
  <c r="S47" i="60" s="1"/>
  <c r="O46" i="60"/>
  <c r="R46" i="60" s="1"/>
  <c r="S46" i="60" s="1"/>
  <c r="O45" i="60"/>
  <c r="R45" i="60" s="1"/>
  <c r="S45" i="60" s="1"/>
  <c r="O44" i="60"/>
  <c r="R44" i="60" s="1"/>
  <c r="S44" i="60" s="1"/>
  <c r="O43" i="60"/>
  <c r="R43" i="60" s="1"/>
  <c r="S43" i="60" s="1"/>
  <c r="O42" i="60"/>
  <c r="R42" i="60" s="1"/>
  <c r="S42" i="60" s="1"/>
  <c r="O41" i="60"/>
  <c r="R41" i="60" s="1"/>
  <c r="S41" i="60" s="1"/>
  <c r="O40" i="60"/>
  <c r="R40" i="60" s="1"/>
  <c r="S40" i="60" s="1"/>
  <c r="O39" i="60"/>
  <c r="R39" i="60" s="1"/>
  <c r="S39" i="60" s="1"/>
  <c r="O38" i="60"/>
  <c r="R38" i="60" s="1"/>
  <c r="S38" i="60" s="1"/>
  <c r="O37" i="60"/>
  <c r="R37" i="60" s="1"/>
  <c r="S37" i="60" s="1"/>
  <c r="O36" i="60"/>
  <c r="R36" i="60" s="1"/>
  <c r="S36" i="60" s="1"/>
  <c r="O34" i="60"/>
  <c r="R34" i="60" s="1"/>
  <c r="S34" i="60" s="1"/>
  <c r="O33" i="60"/>
  <c r="R33" i="60" s="1"/>
  <c r="S33" i="60" s="1"/>
  <c r="O32" i="60"/>
  <c r="R32" i="60" s="1"/>
  <c r="S32" i="60" s="1"/>
  <c r="O31" i="60"/>
  <c r="R31" i="60" s="1"/>
  <c r="S31" i="60" s="1"/>
  <c r="O30" i="60"/>
  <c r="R30" i="60" s="1"/>
  <c r="S30" i="60" s="1"/>
  <c r="O29" i="60"/>
  <c r="R29" i="60" s="1"/>
  <c r="S29" i="60" s="1"/>
  <c r="O28" i="60"/>
  <c r="R28" i="60" s="1"/>
  <c r="S28" i="60" s="1"/>
  <c r="O27" i="60"/>
  <c r="R27" i="60" s="1"/>
  <c r="S27" i="60" s="1"/>
  <c r="Z26" i="60"/>
  <c r="O26" i="60"/>
  <c r="R26" i="60" s="1"/>
  <c r="S26" i="60" s="1"/>
  <c r="N54" i="31"/>
  <c r="O53" i="31"/>
  <c r="N53" i="31"/>
  <c r="O52" i="31"/>
  <c r="P52" i="31" s="1"/>
  <c r="N52" i="31"/>
  <c r="O51" i="31"/>
  <c r="N51" i="31"/>
  <c r="O50" i="31"/>
  <c r="N50" i="31"/>
  <c r="O49" i="31"/>
  <c r="N49" i="31"/>
  <c r="O48" i="31"/>
  <c r="N48" i="31"/>
  <c r="O47" i="31"/>
  <c r="N47" i="31"/>
  <c r="O46" i="31"/>
  <c r="P46" i="31" s="1"/>
  <c r="N46" i="31"/>
  <c r="O45" i="31"/>
  <c r="N45" i="31"/>
  <c r="O44" i="31"/>
  <c r="N44" i="31"/>
  <c r="O43" i="31"/>
  <c r="N43" i="31"/>
  <c r="O42" i="31"/>
  <c r="N42" i="31"/>
  <c r="O41" i="31"/>
  <c r="N41" i="31"/>
  <c r="O40" i="31"/>
  <c r="N40" i="31"/>
  <c r="O39" i="31"/>
  <c r="N39" i="31"/>
  <c r="O38" i="31"/>
  <c r="N38" i="31"/>
  <c r="O37" i="31"/>
  <c r="N37" i="31"/>
  <c r="O32" i="31"/>
  <c r="N32" i="31"/>
  <c r="O31" i="31"/>
  <c r="N31" i="31"/>
  <c r="O30" i="31"/>
  <c r="N30" i="31"/>
  <c r="O29" i="31"/>
  <c r="N29" i="31"/>
  <c r="O28" i="31"/>
  <c r="N28" i="31"/>
  <c r="O27" i="31"/>
  <c r="N27" i="31"/>
  <c r="O26" i="31"/>
  <c r="N26" i="31"/>
  <c r="O25" i="31"/>
  <c r="N25" i="31"/>
  <c r="O24" i="31"/>
  <c r="N24" i="31"/>
  <c r="O23" i="31"/>
  <c r="N23" i="31"/>
  <c r="O22" i="31"/>
  <c r="N22" i="31"/>
  <c r="O21" i="31"/>
  <c r="N21" i="31"/>
  <c r="O20" i="31"/>
  <c r="N20" i="31"/>
  <c r="O19" i="31"/>
  <c r="N19" i="31"/>
  <c r="O18" i="31"/>
  <c r="N18" i="31"/>
  <c r="O17" i="31"/>
  <c r="N17" i="31"/>
  <c r="N8" i="31"/>
  <c r="O8" i="31"/>
  <c r="P8" i="31" s="1"/>
  <c r="N9" i="31"/>
  <c r="O9" i="31"/>
  <c r="P9" i="31" s="1"/>
  <c r="N10" i="31"/>
  <c r="O10" i="31"/>
  <c r="P10" i="31" s="1"/>
  <c r="N7" i="31"/>
  <c r="O7" i="31"/>
  <c r="P7" i="31" s="1"/>
  <c r="L54" i="31"/>
  <c r="L53" i="31"/>
  <c r="L52" i="31"/>
  <c r="L51" i="31"/>
  <c r="L50" i="31"/>
  <c r="L49" i="31"/>
  <c r="L48" i="31"/>
  <c r="L47" i="31"/>
  <c r="L46" i="31"/>
  <c r="L45" i="31"/>
  <c r="L44" i="31"/>
  <c r="L43" i="31"/>
  <c r="L42" i="31"/>
  <c r="L41" i="31"/>
  <c r="L40" i="31"/>
  <c r="L39" i="31"/>
  <c r="L38" i="31"/>
  <c r="L37" i="31"/>
  <c r="L32" i="31"/>
  <c r="L31" i="31"/>
  <c r="L30" i="31"/>
  <c r="L29" i="31"/>
  <c r="L28" i="31"/>
  <c r="L27" i="31"/>
  <c r="L26" i="31"/>
  <c r="L25" i="31"/>
  <c r="L24" i="31"/>
  <c r="L23" i="31"/>
  <c r="L22" i="31"/>
  <c r="L21" i="31"/>
  <c r="L20" i="31"/>
  <c r="L19" i="31"/>
  <c r="L18" i="31"/>
  <c r="L17" i="31"/>
  <c r="T54" i="31"/>
  <c r="T53" i="31"/>
  <c r="T52" i="31"/>
  <c r="T51" i="31"/>
  <c r="T50" i="31"/>
  <c r="T49" i="31"/>
  <c r="T48" i="31"/>
  <c r="T47" i="31"/>
  <c r="T46" i="31"/>
  <c r="T45" i="31"/>
  <c r="T44" i="31"/>
  <c r="T43" i="31"/>
  <c r="T42" i="31"/>
  <c r="T41" i="31"/>
  <c r="T40" i="31"/>
  <c r="T39" i="31"/>
  <c r="T38" i="31"/>
  <c r="T37" i="31"/>
  <c r="T32" i="31"/>
  <c r="T31" i="31"/>
  <c r="T30" i="31"/>
  <c r="T29" i="31"/>
  <c r="T28" i="31"/>
  <c r="T27" i="31"/>
  <c r="T26" i="31"/>
  <c r="T25" i="31"/>
  <c r="T24" i="31"/>
  <c r="T23" i="31"/>
  <c r="T22" i="31"/>
  <c r="T21" i="31"/>
  <c r="T20" i="31"/>
  <c r="T19" i="31"/>
  <c r="T18" i="31"/>
  <c r="T17" i="31"/>
  <c r="T10" i="31"/>
  <c r="T9" i="31"/>
  <c r="T8" i="31"/>
  <c r="T7" i="31"/>
  <c r="L8" i="31"/>
  <c r="L9" i="31"/>
  <c r="L10" i="31"/>
  <c r="L7" i="31"/>
  <c r="L23" i="30"/>
  <c r="O32" i="83" l="1"/>
  <c r="AB31" i="83"/>
  <c r="P31" i="83"/>
  <c r="AC30" i="83"/>
  <c r="H34" i="83"/>
  <c r="W33" i="83"/>
  <c r="AI33" i="83" s="1"/>
  <c r="H71" i="83"/>
  <c r="W70" i="83"/>
  <c r="AI70" i="83" s="1"/>
  <c r="V73" i="83"/>
  <c r="AF73" i="83" s="1"/>
  <c r="G74" i="83"/>
  <c r="V74" i="83" s="1"/>
  <c r="AF74" i="83" s="1"/>
  <c r="G33" i="83"/>
  <c r="V32" i="83"/>
  <c r="AF32" i="83" s="1"/>
  <c r="P31" i="56"/>
  <c r="Q31" i="56" s="1"/>
  <c r="Q23" i="56"/>
  <c r="P42" i="31"/>
  <c r="P50" i="31"/>
  <c r="P53" i="31"/>
  <c r="P32" i="31"/>
  <c r="P22" i="31"/>
  <c r="P28" i="31"/>
  <c r="P38" i="31"/>
  <c r="P49" i="31"/>
  <c r="P44" i="31"/>
  <c r="P17" i="31"/>
  <c r="P23" i="31"/>
  <c r="P29" i="31"/>
  <c r="P39" i="31"/>
  <c r="P45" i="31"/>
  <c r="P18" i="31"/>
  <c r="P24" i="31"/>
  <c r="P30" i="31"/>
  <c r="P40" i="31"/>
  <c r="P51" i="31"/>
  <c r="P19" i="31"/>
  <c r="P25" i="31"/>
  <c r="P31" i="31"/>
  <c r="P41" i="31"/>
  <c r="P26" i="31"/>
  <c r="P47" i="31"/>
  <c r="P20" i="31"/>
  <c r="P21" i="31"/>
  <c r="P27" i="31"/>
  <c r="P37" i="31"/>
  <c r="P48" i="31"/>
  <c r="P43" i="31"/>
  <c r="L25" i="30"/>
  <c r="L21" i="30"/>
  <c r="L19" i="30"/>
  <c r="L17" i="30"/>
  <c r="L15" i="30"/>
  <c r="L13" i="30"/>
  <c r="L11" i="30"/>
  <c r="M54" i="19"/>
  <c r="N54" i="19"/>
  <c r="O54" i="19"/>
  <c r="P54" i="19"/>
  <c r="Q54" i="19"/>
  <c r="R54" i="19"/>
  <c r="M55" i="19"/>
  <c r="N55" i="19"/>
  <c r="O55" i="19"/>
  <c r="P55" i="19"/>
  <c r="Q55" i="19"/>
  <c r="R55" i="19"/>
  <c r="M56" i="19"/>
  <c r="N56" i="19"/>
  <c r="O56" i="19"/>
  <c r="P56" i="19"/>
  <c r="Q56" i="19"/>
  <c r="R56" i="19"/>
  <c r="M57" i="19"/>
  <c r="N57" i="19"/>
  <c r="O57" i="19"/>
  <c r="P57" i="19"/>
  <c r="Q57" i="19"/>
  <c r="R57" i="19"/>
  <c r="M58" i="19"/>
  <c r="N58" i="19"/>
  <c r="O58" i="19"/>
  <c r="P58" i="19"/>
  <c r="Q58" i="19"/>
  <c r="R58" i="19"/>
  <c r="M59" i="19"/>
  <c r="N59" i="19"/>
  <c r="O59" i="19"/>
  <c r="P59" i="19"/>
  <c r="Q59" i="19"/>
  <c r="R59" i="19"/>
  <c r="M60" i="19"/>
  <c r="N60" i="19"/>
  <c r="O60" i="19"/>
  <c r="P60" i="19"/>
  <c r="Q60" i="19"/>
  <c r="R60" i="19"/>
  <c r="M61" i="19"/>
  <c r="N61" i="19"/>
  <c r="O61" i="19"/>
  <c r="P61" i="19"/>
  <c r="Q61" i="19"/>
  <c r="R61" i="19"/>
  <c r="O53" i="19"/>
  <c r="P53" i="19"/>
  <c r="Q53" i="19"/>
  <c r="R53" i="19"/>
  <c r="M55" i="76"/>
  <c r="P56" i="76"/>
  <c r="N55" i="76"/>
  <c r="O55" i="76"/>
  <c r="P55" i="76"/>
  <c r="U44" i="76" s="1"/>
  <c r="N56" i="76"/>
  <c r="O56" i="76"/>
  <c r="N57" i="76"/>
  <c r="O57" i="76"/>
  <c r="P57" i="76"/>
  <c r="N58" i="76"/>
  <c r="O58" i="76"/>
  <c r="P58" i="76"/>
  <c r="N59" i="76"/>
  <c r="O59" i="76"/>
  <c r="P59" i="76"/>
  <c r="N60" i="76"/>
  <c r="O60" i="76"/>
  <c r="P60" i="76"/>
  <c r="N61" i="76"/>
  <c r="O61" i="76"/>
  <c r="P61" i="76"/>
  <c r="N62" i="76"/>
  <c r="S51" i="76" s="1"/>
  <c r="O62" i="76"/>
  <c r="P62" i="76"/>
  <c r="N63" i="76"/>
  <c r="O63" i="76"/>
  <c r="P63" i="76"/>
  <c r="M56" i="76"/>
  <c r="M57" i="76"/>
  <c r="M58" i="76"/>
  <c r="M59" i="76"/>
  <c r="M60" i="76"/>
  <c r="M61" i="76"/>
  <c r="M62" i="76"/>
  <c r="M63" i="76"/>
  <c r="O33" i="83" l="1"/>
  <c r="AB32" i="83"/>
  <c r="G34" i="83"/>
  <c r="V33" i="83"/>
  <c r="AF33" i="83" s="1"/>
  <c r="W71" i="83"/>
  <c r="AI71" i="83" s="1"/>
  <c r="H72" i="83"/>
  <c r="W34" i="83"/>
  <c r="AI34" i="83" s="1"/>
  <c r="H35" i="83"/>
  <c r="AC31" i="83"/>
  <c r="P32" i="83"/>
  <c r="AD14" i="63"/>
  <c r="AB33" i="83" l="1"/>
  <c r="O34" i="83"/>
  <c r="P33" i="83"/>
  <c r="AC32" i="83"/>
  <c r="W35" i="83"/>
  <c r="AI35" i="83" s="1"/>
  <c r="H36" i="83"/>
  <c r="H73" i="83"/>
  <c r="W72" i="83"/>
  <c r="AI72" i="83" s="1"/>
  <c r="V34" i="83"/>
  <c r="AF34" i="83" s="1"/>
  <c r="G35" i="83"/>
  <c r="X23" i="56"/>
  <c r="Y30" i="30"/>
  <c r="Y31" i="30"/>
  <c r="Y29" i="30"/>
  <c r="P46" i="61"/>
  <c r="C36" i="19"/>
  <c r="C34" i="19"/>
  <c r="C32" i="19"/>
  <c r="C30" i="19"/>
  <c r="C28" i="19"/>
  <c r="C26" i="19"/>
  <c r="C24" i="19"/>
  <c r="C22" i="19"/>
  <c r="E39" i="75"/>
  <c r="O35" i="83" l="1"/>
  <c r="AB34" i="83"/>
  <c r="H74" i="83"/>
  <c r="W74" i="83" s="1"/>
  <c r="AI74" i="83" s="1"/>
  <c r="W73" i="83"/>
  <c r="AI73" i="83" s="1"/>
  <c r="H37" i="83"/>
  <c r="W36" i="83"/>
  <c r="AI36" i="83" s="1"/>
  <c r="V35" i="83"/>
  <c r="AF35" i="83" s="1"/>
  <c r="G36" i="83"/>
  <c r="AC33" i="83"/>
  <c r="P34" i="83"/>
  <c r="E36" i="75"/>
  <c r="R36" i="75" s="1"/>
  <c r="R35" i="75"/>
  <c r="Z23" i="56"/>
  <c r="S44" i="76"/>
  <c r="T44" i="76"/>
  <c r="S45" i="76"/>
  <c r="T45" i="76"/>
  <c r="U45" i="76"/>
  <c r="S46" i="76"/>
  <c r="T46" i="76"/>
  <c r="U46" i="76"/>
  <c r="S47" i="76"/>
  <c r="T47" i="76"/>
  <c r="U47" i="76"/>
  <c r="T48" i="76"/>
  <c r="U48" i="76"/>
  <c r="S49" i="76"/>
  <c r="T49" i="76"/>
  <c r="U49" i="76"/>
  <c r="S50" i="76"/>
  <c r="T50" i="76"/>
  <c r="U50" i="76"/>
  <c r="T51" i="76"/>
  <c r="U51" i="76"/>
  <c r="S52" i="76"/>
  <c r="U52" i="76"/>
  <c r="R45" i="76"/>
  <c r="R47" i="76"/>
  <c r="R48" i="76"/>
  <c r="R49" i="76"/>
  <c r="R50" i="76"/>
  <c r="R51" i="76"/>
  <c r="R52" i="76"/>
  <c r="R44" i="76"/>
  <c r="S48" i="76"/>
  <c r="T52" i="76"/>
  <c r="R46" i="76"/>
  <c r="U42" i="19"/>
  <c r="V42" i="19"/>
  <c r="W42" i="19"/>
  <c r="X42" i="19"/>
  <c r="Y42" i="19"/>
  <c r="U43" i="19"/>
  <c r="V43" i="19"/>
  <c r="W43" i="19"/>
  <c r="X43" i="19"/>
  <c r="Y43" i="19"/>
  <c r="U44" i="19"/>
  <c r="V44" i="19"/>
  <c r="W44" i="19"/>
  <c r="X44" i="19"/>
  <c r="Y44" i="19"/>
  <c r="U45" i="19"/>
  <c r="V45" i="19"/>
  <c r="W45" i="19"/>
  <c r="X45" i="19"/>
  <c r="Y45" i="19"/>
  <c r="U46" i="19"/>
  <c r="V46" i="19"/>
  <c r="W46" i="19"/>
  <c r="X46" i="19"/>
  <c r="Y46" i="19"/>
  <c r="U47" i="19"/>
  <c r="V47" i="19"/>
  <c r="W47" i="19"/>
  <c r="Y47" i="19"/>
  <c r="U48" i="19"/>
  <c r="V48" i="19"/>
  <c r="W48" i="19"/>
  <c r="X48" i="19"/>
  <c r="Y48" i="19"/>
  <c r="U49" i="19"/>
  <c r="V49" i="19"/>
  <c r="W49" i="19"/>
  <c r="X49" i="19"/>
  <c r="Y49" i="19"/>
  <c r="U50" i="19"/>
  <c r="V50" i="19"/>
  <c r="X50" i="19"/>
  <c r="T43" i="19"/>
  <c r="T44" i="19"/>
  <c r="T45" i="19"/>
  <c r="T46" i="19"/>
  <c r="T47" i="19"/>
  <c r="T48" i="19"/>
  <c r="T49" i="19"/>
  <c r="T50" i="19"/>
  <c r="X47" i="19"/>
  <c r="W50" i="19"/>
  <c r="Y50" i="19"/>
  <c r="T42" i="19"/>
  <c r="Y82" i="19"/>
  <c r="X82" i="19"/>
  <c r="W82" i="19"/>
  <c r="V82" i="19"/>
  <c r="U82" i="19"/>
  <c r="T82" i="19"/>
  <c r="O36" i="83" l="1"/>
  <c r="AB35" i="83"/>
  <c r="P35" i="83"/>
  <c r="AC34" i="83"/>
  <c r="G37" i="83"/>
  <c r="V36" i="83"/>
  <c r="AF36" i="83" s="1"/>
  <c r="H38" i="83"/>
  <c r="W37" i="83"/>
  <c r="AI37" i="83" s="1"/>
  <c r="M20" i="19"/>
  <c r="O37" i="83" l="1"/>
  <c r="AB36" i="83"/>
  <c r="W38" i="83"/>
  <c r="AI38" i="83" s="1"/>
  <c r="H39" i="83"/>
  <c r="G38" i="83"/>
  <c r="V37" i="83"/>
  <c r="AF37" i="83" s="1"/>
  <c r="P36" i="83"/>
  <c r="AC35" i="83"/>
  <c r="G20" i="19"/>
  <c r="F22" i="19" s="1"/>
  <c r="M22" i="76"/>
  <c r="N22" i="76"/>
  <c r="O22" i="76"/>
  <c r="P22" i="76"/>
  <c r="M24" i="76"/>
  <c r="N24" i="76"/>
  <c r="O24" i="76"/>
  <c r="P24" i="76"/>
  <c r="M26" i="76"/>
  <c r="N26" i="76"/>
  <c r="O26" i="76"/>
  <c r="P26" i="76"/>
  <c r="M28" i="76"/>
  <c r="N28" i="76"/>
  <c r="P28" i="76"/>
  <c r="M30" i="76"/>
  <c r="N30" i="76"/>
  <c r="O30" i="76"/>
  <c r="P30" i="76"/>
  <c r="M32" i="76"/>
  <c r="N32" i="76"/>
  <c r="O32" i="76"/>
  <c r="P32" i="76"/>
  <c r="M34" i="76"/>
  <c r="N34" i="76"/>
  <c r="O34" i="76"/>
  <c r="P34" i="76"/>
  <c r="M36" i="76"/>
  <c r="N36" i="76"/>
  <c r="O36" i="76"/>
  <c r="P36" i="76"/>
  <c r="N20" i="76"/>
  <c r="O20" i="76"/>
  <c r="P20" i="76"/>
  <c r="M20" i="76"/>
  <c r="L36" i="76"/>
  <c r="D34" i="76"/>
  <c r="G34" i="76" s="1"/>
  <c r="F36" i="76" s="1"/>
  <c r="L37" i="76" s="1"/>
  <c r="D32" i="76"/>
  <c r="L32" i="76" s="1"/>
  <c r="D30" i="76"/>
  <c r="G30" i="76" s="1"/>
  <c r="F32" i="76" s="1"/>
  <c r="O28" i="76"/>
  <c r="D28" i="76"/>
  <c r="L28" i="76" s="1"/>
  <c r="D26" i="76"/>
  <c r="L26" i="76" s="1"/>
  <c r="D24" i="76"/>
  <c r="L24" i="76" s="1"/>
  <c r="D22" i="76"/>
  <c r="G22" i="76" s="1"/>
  <c r="F24" i="76" s="1"/>
  <c r="D20" i="76"/>
  <c r="L11" i="76"/>
  <c r="L10" i="76"/>
  <c r="L9" i="76"/>
  <c r="L36" i="19"/>
  <c r="G34" i="19"/>
  <c r="F36" i="19" s="1"/>
  <c r="G32" i="19"/>
  <c r="F34" i="19" s="1"/>
  <c r="L30" i="19"/>
  <c r="G28" i="19"/>
  <c r="F30" i="19" s="1"/>
  <c r="L26" i="19"/>
  <c r="L24" i="19"/>
  <c r="L22" i="19"/>
  <c r="J40" i="58"/>
  <c r="Q53" i="75"/>
  <c r="E42" i="75"/>
  <c r="R42" i="75" s="1"/>
  <c r="E43" i="75"/>
  <c r="E44" i="75"/>
  <c r="R44" i="75" s="1"/>
  <c r="E41" i="75"/>
  <c r="O61" i="75"/>
  <c r="V61" i="75" s="1"/>
  <c r="X61" i="75" s="1"/>
  <c r="M61" i="75"/>
  <c r="N61" i="75" s="1"/>
  <c r="O60" i="75"/>
  <c r="V60" i="75" s="1"/>
  <c r="X60" i="75" s="1"/>
  <c r="M60" i="75"/>
  <c r="N60" i="75" s="1"/>
  <c r="O59" i="75"/>
  <c r="V59" i="75" s="1"/>
  <c r="X59" i="75" s="1"/>
  <c r="M59" i="75"/>
  <c r="N59" i="75" s="1"/>
  <c r="O58" i="75"/>
  <c r="V58" i="75" s="1"/>
  <c r="X58" i="75" s="1"/>
  <c r="M58" i="75"/>
  <c r="N58" i="75" s="1"/>
  <c r="O57" i="75"/>
  <c r="V57" i="75" s="1"/>
  <c r="X57" i="75" s="1"/>
  <c r="M57" i="75"/>
  <c r="N57" i="75" s="1"/>
  <c r="O56" i="75"/>
  <c r="V56" i="75" s="1"/>
  <c r="X56" i="75" s="1"/>
  <c r="M56" i="75"/>
  <c r="N56" i="75" s="1"/>
  <c r="O55" i="75"/>
  <c r="V55" i="75" s="1"/>
  <c r="X55" i="75" s="1"/>
  <c r="M55" i="75"/>
  <c r="N55" i="75" s="1"/>
  <c r="O54" i="75"/>
  <c r="V54" i="75" s="1"/>
  <c r="X54" i="75" s="1"/>
  <c r="M54" i="75"/>
  <c r="N54" i="75" s="1"/>
  <c r="O52" i="75"/>
  <c r="V52" i="75" s="1"/>
  <c r="X52" i="75" s="1"/>
  <c r="M52" i="75"/>
  <c r="N52" i="75" s="1"/>
  <c r="Q49" i="75"/>
  <c r="O44" i="75"/>
  <c r="V44" i="75" s="1"/>
  <c r="M44" i="75"/>
  <c r="N44" i="75" s="1"/>
  <c r="O43" i="75"/>
  <c r="V43" i="75" s="1"/>
  <c r="M43" i="75"/>
  <c r="N43" i="75" s="1"/>
  <c r="O42" i="75"/>
  <c r="V42" i="75" s="1"/>
  <c r="M42" i="75"/>
  <c r="N42" i="75" s="1"/>
  <c r="O41" i="75"/>
  <c r="V41" i="75" s="1"/>
  <c r="X41" i="75" s="1"/>
  <c r="M41" i="75"/>
  <c r="N41" i="75" s="1"/>
  <c r="O40" i="75"/>
  <c r="V40" i="75" s="1"/>
  <c r="M40" i="75"/>
  <c r="N40" i="75" s="1"/>
  <c r="O39" i="75"/>
  <c r="V39" i="75" s="1"/>
  <c r="M39" i="75"/>
  <c r="N39" i="75" s="1"/>
  <c r="O38" i="75"/>
  <c r="V38" i="75" s="1"/>
  <c r="M38" i="75"/>
  <c r="N38" i="75" s="1"/>
  <c r="O37" i="75"/>
  <c r="V37" i="75" s="1"/>
  <c r="M37" i="75"/>
  <c r="N37" i="75" s="1"/>
  <c r="O35" i="75"/>
  <c r="V35" i="75" s="1"/>
  <c r="Q32" i="75"/>
  <c r="S27" i="75"/>
  <c r="O27" i="75"/>
  <c r="M27" i="75"/>
  <c r="N27" i="75" s="1"/>
  <c r="S26" i="75"/>
  <c r="O26" i="75"/>
  <c r="M26" i="75"/>
  <c r="N26" i="75" s="1"/>
  <c r="S25" i="75"/>
  <c r="O25" i="75"/>
  <c r="M25" i="75"/>
  <c r="N25" i="75" s="1"/>
  <c r="S24" i="75"/>
  <c r="O24" i="75"/>
  <c r="M24" i="75"/>
  <c r="N24" i="75" s="1"/>
  <c r="S23" i="75"/>
  <c r="O23" i="75"/>
  <c r="M23" i="75"/>
  <c r="N23" i="75" s="1"/>
  <c r="S22" i="75"/>
  <c r="O22" i="75"/>
  <c r="M22" i="75"/>
  <c r="N22" i="75" s="1"/>
  <c r="S21" i="75"/>
  <c r="O21" i="75"/>
  <c r="M21" i="75"/>
  <c r="N21" i="75" s="1"/>
  <c r="S20" i="75"/>
  <c r="O20" i="75"/>
  <c r="M20" i="75"/>
  <c r="N20" i="75" s="1"/>
  <c r="S18" i="75"/>
  <c r="Q18" i="75"/>
  <c r="O18" i="75"/>
  <c r="M18" i="75"/>
  <c r="N18" i="75" s="1"/>
  <c r="Q15" i="75"/>
  <c r="Q13" i="75"/>
  <c r="Q11" i="75"/>
  <c r="Q10" i="75"/>
  <c r="O38" i="83" l="1"/>
  <c r="AB37" i="83"/>
  <c r="G39" i="83"/>
  <c r="V38" i="83"/>
  <c r="AF38" i="83" s="1"/>
  <c r="H40" i="83"/>
  <c r="W39" i="83"/>
  <c r="AI39" i="83" s="1"/>
  <c r="P37" i="83"/>
  <c r="AC36" i="83"/>
  <c r="E38" i="75"/>
  <c r="R38" i="75" s="1"/>
  <c r="R37" i="75"/>
  <c r="E40" i="75"/>
  <c r="R40" i="75" s="1"/>
  <c r="R39" i="75"/>
  <c r="R41" i="75"/>
  <c r="R43" i="75"/>
  <c r="AA20" i="75"/>
  <c r="AC20" i="75" s="1"/>
  <c r="Q27" i="75"/>
  <c r="Z27" i="75"/>
  <c r="Q26" i="75"/>
  <c r="Z26" i="75"/>
  <c r="Q25" i="75"/>
  <c r="Z25" i="75"/>
  <c r="Q21" i="75"/>
  <c r="Z21" i="75"/>
  <c r="Q24" i="75"/>
  <c r="Z24" i="75"/>
  <c r="Q20" i="75"/>
  <c r="Z20" i="75"/>
  <c r="Q23" i="75"/>
  <c r="Z23" i="75"/>
  <c r="Q22" i="75"/>
  <c r="Z22" i="75"/>
  <c r="V27" i="75"/>
  <c r="X27" i="75" s="1"/>
  <c r="AA27" i="75"/>
  <c r="AC27" i="75" s="1"/>
  <c r="V24" i="75"/>
  <c r="X24" i="75" s="1"/>
  <c r="AA24" i="75"/>
  <c r="AC24" i="75" s="1"/>
  <c r="V22" i="75"/>
  <c r="X22" i="75" s="1"/>
  <c r="AA22" i="75"/>
  <c r="AC22" i="75" s="1"/>
  <c r="V21" i="75"/>
  <c r="W21" i="75" s="1"/>
  <c r="AA21" i="75"/>
  <c r="AC21" i="75" s="1"/>
  <c r="V23" i="75"/>
  <c r="X23" i="75" s="1"/>
  <c r="AA23" i="75"/>
  <c r="AC23" i="75" s="1"/>
  <c r="V25" i="75"/>
  <c r="W25" i="75" s="1"/>
  <c r="AA25" i="75"/>
  <c r="AC25" i="75" s="1"/>
  <c r="V26" i="75"/>
  <c r="W26" i="75" s="1"/>
  <c r="AA26" i="75"/>
  <c r="AC26" i="75" s="1"/>
  <c r="V18" i="75"/>
  <c r="W18" i="75" s="1"/>
  <c r="AA18" i="75"/>
  <c r="AC18" i="75" s="1"/>
  <c r="V20" i="75"/>
  <c r="L20" i="76"/>
  <c r="G20" i="76"/>
  <c r="X43" i="75"/>
  <c r="G32" i="76"/>
  <c r="F34" i="76" s="1"/>
  <c r="L35" i="76" s="1"/>
  <c r="L34" i="76"/>
  <c r="L34" i="19"/>
  <c r="L30" i="76"/>
  <c r="G28" i="76"/>
  <c r="F30" i="76" s="1"/>
  <c r="L31" i="76" s="1"/>
  <c r="G26" i="76"/>
  <c r="F28" i="76" s="1"/>
  <c r="G24" i="76"/>
  <c r="F26" i="76" s="1"/>
  <c r="L22" i="76"/>
  <c r="L28" i="19"/>
  <c r="L32" i="19"/>
  <c r="G30" i="19"/>
  <c r="F32" i="19" s="1"/>
  <c r="G24" i="19"/>
  <c r="F26" i="19" s="1"/>
  <c r="G22" i="19"/>
  <c r="F24" i="19" s="1"/>
  <c r="G26" i="19"/>
  <c r="F28" i="19" s="1"/>
  <c r="X39" i="75"/>
  <c r="X35" i="75"/>
  <c r="X40" i="75"/>
  <c r="X42" i="75"/>
  <c r="X37" i="75"/>
  <c r="X38" i="75"/>
  <c r="X44" i="75"/>
  <c r="M43" i="61"/>
  <c r="U43" i="61" s="1"/>
  <c r="M42" i="61"/>
  <c r="U42" i="61" s="1"/>
  <c r="M41" i="61"/>
  <c r="U41" i="61" s="1"/>
  <c r="M40" i="61"/>
  <c r="U40" i="61" s="1"/>
  <c r="M39" i="61"/>
  <c r="U39" i="61" s="1"/>
  <c r="M38" i="61"/>
  <c r="U38" i="61" s="1"/>
  <c r="M37" i="61"/>
  <c r="U37" i="61" s="1"/>
  <c r="M36" i="61"/>
  <c r="U36" i="61" s="1"/>
  <c r="M35" i="61"/>
  <c r="U35" i="61" s="1"/>
  <c r="M34" i="61"/>
  <c r="U34" i="61" s="1"/>
  <c r="M33" i="61"/>
  <c r="U33" i="61" s="1"/>
  <c r="M32" i="61"/>
  <c r="U32" i="61" s="1"/>
  <c r="M31" i="61"/>
  <c r="U31" i="61" s="1"/>
  <c r="M30" i="61"/>
  <c r="U30" i="61" s="1"/>
  <c r="M29" i="61"/>
  <c r="U29" i="61" s="1"/>
  <c r="M28" i="61"/>
  <c r="U28" i="61" s="1"/>
  <c r="M27" i="61"/>
  <c r="U27" i="61" s="1"/>
  <c r="M26" i="61"/>
  <c r="U26" i="61" s="1"/>
  <c r="M25" i="61"/>
  <c r="U25" i="61" s="1"/>
  <c r="M24" i="61"/>
  <c r="U24" i="61" s="1"/>
  <c r="H40" i="61"/>
  <c r="H41" i="61" s="1"/>
  <c r="H42" i="61" s="1"/>
  <c r="H43" i="61" s="1"/>
  <c r="H36" i="61"/>
  <c r="H37" i="61" s="1"/>
  <c r="H38" i="61" s="1"/>
  <c r="H39" i="61" s="1"/>
  <c r="H32" i="61"/>
  <c r="H33" i="61" s="1"/>
  <c r="H34" i="61" s="1"/>
  <c r="H35" i="61" s="1"/>
  <c r="H28" i="61"/>
  <c r="H29" i="61" s="1"/>
  <c r="H30" i="61" s="1"/>
  <c r="H31" i="61" s="1"/>
  <c r="H24" i="61"/>
  <c r="G41" i="61"/>
  <c r="G42" i="61" s="1"/>
  <c r="G43" i="61" s="1"/>
  <c r="G37" i="61"/>
  <c r="G38" i="61" s="1"/>
  <c r="G39" i="61" s="1"/>
  <c r="G33" i="61"/>
  <c r="G34" i="61" s="1"/>
  <c r="G35" i="61" s="1"/>
  <c r="G29" i="61"/>
  <c r="G30" i="61" s="1"/>
  <c r="G31" i="61" s="1"/>
  <c r="G25" i="61"/>
  <c r="G26" i="61" s="1"/>
  <c r="G27" i="61" s="1"/>
  <c r="G39" i="56"/>
  <c r="G35" i="56"/>
  <c r="G31" i="56"/>
  <c r="G27" i="56"/>
  <c r="F40" i="56"/>
  <c r="F41" i="56" s="1"/>
  <c r="F42" i="56" s="1"/>
  <c r="F36" i="56"/>
  <c r="F37" i="56" s="1"/>
  <c r="F38" i="56" s="1"/>
  <c r="F32" i="56"/>
  <c r="F33" i="56" s="1"/>
  <c r="F34" i="56" s="1"/>
  <c r="F28" i="56"/>
  <c r="F29" i="56" s="1"/>
  <c r="F30" i="56" s="1"/>
  <c r="F24" i="56"/>
  <c r="F25" i="56" s="1"/>
  <c r="F26" i="56" s="1"/>
  <c r="Y32" i="56"/>
  <c r="Y33" i="56"/>
  <c r="Y34" i="56"/>
  <c r="Y35" i="56"/>
  <c r="Y36" i="56"/>
  <c r="Y37" i="56"/>
  <c r="Y38" i="56"/>
  <c r="Y39" i="56"/>
  <c r="Y40" i="56"/>
  <c r="Y41" i="56"/>
  <c r="Y42" i="56"/>
  <c r="X34" i="56"/>
  <c r="X35" i="56"/>
  <c r="X36" i="56"/>
  <c r="X37" i="56"/>
  <c r="X38" i="56"/>
  <c r="X39" i="56"/>
  <c r="X40" i="56"/>
  <c r="X41" i="56"/>
  <c r="X42" i="56"/>
  <c r="X33" i="56"/>
  <c r="X32" i="56"/>
  <c r="Y31" i="56"/>
  <c r="X31" i="56"/>
  <c r="Y30" i="56"/>
  <c r="X30" i="56"/>
  <c r="Y29" i="56"/>
  <c r="X29" i="56"/>
  <c r="Y28" i="56"/>
  <c r="X28" i="56"/>
  <c r="Y27" i="56"/>
  <c r="X27" i="56"/>
  <c r="Y26" i="56"/>
  <c r="X26" i="56"/>
  <c r="Y25" i="56"/>
  <c r="X25" i="56"/>
  <c r="Y24" i="56"/>
  <c r="X24" i="56"/>
  <c r="Y23" i="56"/>
  <c r="AB23" i="56" s="1"/>
  <c r="AA33" i="60"/>
  <c r="AA53" i="60"/>
  <c r="AA52" i="60"/>
  <c r="AA51" i="60"/>
  <c r="AA50" i="60"/>
  <c r="AA49" i="60"/>
  <c r="AA48" i="60"/>
  <c r="AA47" i="60"/>
  <c r="AA46" i="60"/>
  <c r="AA45" i="60"/>
  <c r="AA44" i="60"/>
  <c r="AA43" i="60"/>
  <c r="AA42" i="60"/>
  <c r="AA41" i="60"/>
  <c r="AA40" i="60"/>
  <c r="AA39" i="60"/>
  <c r="AA38" i="60"/>
  <c r="AA37" i="60"/>
  <c r="AA36" i="60"/>
  <c r="AA35" i="60"/>
  <c r="AA34" i="60"/>
  <c r="AA32" i="60"/>
  <c r="AA31" i="60"/>
  <c r="AA30" i="60"/>
  <c r="AA29" i="60"/>
  <c r="AA28" i="60"/>
  <c r="AA27" i="60"/>
  <c r="AA26" i="60"/>
  <c r="Z27" i="60"/>
  <c r="Z28" i="60"/>
  <c r="Z29" i="60"/>
  <c r="Z30" i="60"/>
  <c r="Z31" i="60"/>
  <c r="Z32" i="60"/>
  <c r="Z33" i="60"/>
  <c r="Z34" i="60"/>
  <c r="Z35" i="60"/>
  <c r="Z36" i="60"/>
  <c r="Z37" i="60"/>
  <c r="Z38" i="60"/>
  <c r="Z39" i="60"/>
  <c r="Z40" i="60"/>
  <c r="Z41" i="60"/>
  <c r="Z42" i="60"/>
  <c r="Z43" i="60"/>
  <c r="Z44" i="60"/>
  <c r="Z45" i="60"/>
  <c r="Z46" i="60"/>
  <c r="Z47" i="60"/>
  <c r="Z48" i="60"/>
  <c r="Z49" i="60"/>
  <c r="Z50" i="60"/>
  <c r="Z51" i="60"/>
  <c r="Z52" i="60"/>
  <c r="Z53" i="60"/>
  <c r="I50" i="60"/>
  <c r="H50" i="60"/>
  <c r="I46" i="60"/>
  <c r="H46" i="60"/>
  <c r="I42" i="60"/>
  <c r="H42" i="60"/>
  <c r="I38" i="60"/>
  <c r="H38" i="60"/>
  <c r="I34" i="60"/>
  <c r="H34" i="60"/>
  <c r="I30" i="60"/>
  <c r="H30" i="60"/>
  <c r="I26" i="60"/>
  <c r="H26" i="60"/>
  <c r="AB26" i="60" s="1"/>
  <c r="AJ21" i="53"/>
  <c r="AK21" i="53"/>
  <c r="AL21" i="53"/>
  <c r="AJ22" i="53"/>
  <c r="AK22" i="53"/>
  <c r="AL22" i="53"/>
  <c r="AJ23" i="53"/>
  <c r="AN23" i="53" s="1"/>
  <c r="O23" i="53" s="1"/>
  <c r="AK23" i="53"/>
  <c r="AL23" i="53"/>
  <c r="AK20" i="53"/>
  <c r="AJ20" i="53"/>
  <c r="AL20" i="53"/>
  <c r="AP20" i="53" s="1"/>
  <c r="Q20" i="53" s="1"/>
  <c r="O39" i="83" l="1"/>
  <c r="AB38" i="83"/>
  <c r="W40" i="83"/>
  <c r="AI40" i="83" s="1"/>
  <c r="H41" i="83"/>
  <c r="AC37" i="83"/>
  <c r="P38" i="83"/>
  <c r="V39" i="83"/>
  <c r="AF39" i="83" s="1"/>
  <c r="G40" i="83"/>
  <c r="X26" i="75"/>
  <c r="W23" i="75"/>
  <c r="X25" i="75"/>
  <c r="W27" i="75"/>
  <c r="X21" i="75"/>
  <c r="X18" i="75"/>
  <c r="W22" i="75"/>
  <c r="W24" i="75"/>
  <c r="X20" i="75"/>
  <c r="W20" i="75"/>
  <c r="H25" i="61"/>
  <c r="H26" i="61" s="1"/>
  <c r="H27" i="61" s="1"/>
  <c r="V24" i="61"/>
  <c r="AD26" i="60"/>
  <c r="AN21" i="53"/>
  <c r="O21" i="53" s="1"/>
  <c r="AN20" i="53"/>
  <c r="O20" i="53" s="1"/>
  <c r="AP23" i="53"/>
  <c r="Q23" i="53" s="1"/>
  <c r="AO20" i="53"/>
  <c r="P20" i="53" s="1"/>
  <c r="AO23" i="53"/>
  <c r="P23" i="53" s="1"/>
  <c r="AP22" i="53"/>
  <c r="Q22" i="53" s="1"/>
  <c r="AO22" i="53"/>
  <c r="P22" i="53" s="1"/>
  <c r="AN22" i="53"/>
  <c r="O22" i="53" s="1"/>
  <c r="AP21" i="53"/>
  <c r="Q21" i="53" s="1"/>
  <c r="AO21" i="53"/>
  <c r="P21" i="53" s="1"/>
  <c r="AC26" i="60"/>
  <c r="L29" i="76"/>
  <c r="L27" i="76"/>
  <c r="L33" i="76"/>
  <c r="L25" i="76"/>
  <c r="F22" i="76"/>
  <c r="L23" i="76" s="1"/>
  <c r="L21" i="76"/>
  <c r="AB39" i="83" l="1"/>
  <c r="O40" i="83"/>
  <c r="H42" i="83"/>
  <c r="W42" i="83" s="1"/>
  <c r="AI42" i="83" s="1"/>
  <c r="W41" i="83"/>
  <c r="AI41" i="83" s="1"/>
  <c r="G41" i="83"/>
  <c r="V40" i="83"/>
  <c r="AF40" i="83" s="1"/>
  <c r="P39" i="83"/>
  <c r="AC38" i="83"/>
  <c r="Y53" i="53"/>
  <c r="X21" i="53"/>
  <c r="AB21" i="53" s="1"/>
  <c r="Y21" i="53"/>
  <c r="AC21" i="53" s="1"/>
  <c r="Z21" i="53"/>
  <c r="AD21" i="53" s="1"/>
  <c r="X22" i="53"/>
  <c r="AB22" i="53" s="1"/>
  <c r="Y22" i="53"/>
  <c r="AC22" i="53" s="1"/>
  <c r="Z22" i="53"/>
  <c r="AD22" i="53" s="1"/>
  <c r="X23" i="53"/>
  <c r="AB23" i="53" s="1"/>
  <c r="Y23" i="53"/>
  <c r="AC23" i="53" s="1"/>
  <c r="Z23" i="53"/>
  <c r="AD23" i="53" s="1"/>
  <c r="Y24" i="53"/>
  <c r="AC24" i="53" s="1"/>
  <c r="Z24" i="53"/>
  <c r="AD24" i="53" s="1"/>
  <c r="Q24" i="53" s="1"/>
  <c r="X25" i="53"/>
  <c r="Y25" i="53"/>
  <c r="AC25" i="53" s="1"/>
  <c r="Z25" i="53"/>
  <c r="X26" i="53"/>
  <c r="Y26" i="53"/>
  <c r="AC26" i="53" s="1"/>
  <c r="Z26" i="53"/>
  <c r="X27" i="53"/>
  <c r="Y27" i="53"/>
  <c r="AC27" i="53" s="1"/>
  <c r="Z27" i="53"/>
  <c r="X28" i="53"/>
  <c r="Z28" i="53"/>
  <c r="X29" i="53"/>
  <c r="Y29" i="53"/>
  <c r="Z29" i="53"/>
  <c r="X30" i="53"/>
  <c r="AB30" i="53" s="1"/>
  <c r="O30" i="53" s="1"/>
  <c r="Y30" i="53"/>
  <c r="Z30" i="53"/>
  <c r="X31" i="53"/>
  <c r="Y31" i="53"/>
  <c r="Z31" i="53"/>
  <c r="X32" i="53"/>
  <c r="Y32" i="53"/>
  <c r="Z32" i="53"/>
  <c r="X33" i="53"/>
  <c r="Y33" i="53"/>
  <c r="Z33" i="53"/>
  <c r="X34" i="53"/>
  <c r="Y34" i="53"/>
  <c r="Z34" i="53"/>
  <c r="X35" i="53"/>
  <c r="Y35" i="53"/>
  <c r="Z35" i="53"/>
  <c r="X36" i="53"/>
  <c r="Y36" i="53"/>
  <c r="Z36" i="53"/>
  <c r="X37" i="53"/>
  <c r="Y37" i="53"/>
  <c r="AC37" i="53" s="1"/>
  <c r="P37" i="53" s="1"/>
  <c r="Z37" i="53"/>
  <c r="X38" i="53"/>
  <c r="Y38" i="53"/>
  <c r="Z38" i="53"/>
  <c r="X39" i="53"/>
  <c r="Y39" i="53"/>
  <c r="Z39" i="53"/>
  <c r="X40" i="53"/>
  <c r="Y40" i="53"/>
  <c r="Z40" i="53"/>
  <c r="X41" i="53"/>
  <c r="Y41" i="53"/>
  <c r="Z41" i="53"/>
  <c r="X42" i="53"/>
  <c r="Y42" i="53"/>
  <c r="Z42" i="53"/>
  <c r="X43" i="53"/>
  <c r="Y43" i="53"/>
  <c r="Z43" i="53"/>
  <c r="X44" i="53"/>
  <c r="Y44" i="53"/>
  <c r="Z44" i="53"/>
  <c r="X45" i="53"/>
  <c r="Y45" i="53"/>
  <c r="Z45" i="53"/>
  <c r="X46" i="53"/>
  <c r="Y46" i="53"/>
  <c r="Z46" i="53"/>
  <c r="X47" i="53"/>
  <c r="Y47" i="53"/>
  <c r="Z47" i="53"/>
  <c r="X48" i="53"/>
  <c r="Y48" i="53"/>
  <c r="Z48" i="53"/>
  <c r="X49" i="53"/>
  <c r="Y49" i="53"/>
  <c r="Z49" i="53"/>
  <c r="AD49" i="53" s="1"/>
  <c r="Q49" i="53" s="1"/>
  <c r="X50" i="53"/>
  <c r="Y50" i="53"/>
  <c r="Z50" i="53"/>
  <c r="X51" i="53"/>
  <c r="Y51" i="53"/>
  <c r="Z51" i="53"/>
  <c r="X52" i="53"/>
  <c r="Y52" i="53"/>
  <c r="Z52" i="53"/>
  <c r="AD52" i="53" s="1"/>
  <c r="X53" i="53"/>
  <c r="Z53" i="53"/>
  <c r="AD53" i="53" s="1"/>
  <c r="X54" i="53"/>
  <c r="Y54" i="53"/>
  <c r="Z54" i="53"/>
  <c r="AD54" i="53" s="1"/>
  <c r="X55" i="53"/>
  <c r="Y55" i="53"/>
  <c r="Z55" i="53"/>
  <c r="AD55" i="53" s="1"/>
  <c r="X56" i="53"/>
  <c r="Y56" i="53"/>
  <c r="Z56" i="53"/>
  <c r="AD56" i="53" s="1"/>
  <c r="X57" i="53"/>
  <c r="Y57" i="53"/>
  <c r="Z57" i="53"/>
  <c r="AD57" i="53" s="1"/>
  <c r="X58" i="53"/>
  <c r="Y58" i="53"/>
  <c r="Z58" i="53"/>
  <c r="AD58" i="53" s="1"/>
  <c r="X59" i="53"/>
  <c r="Y59" i="53"/>
  <c r="Z59" i="53"/>
  <c r="AD59" i="53" s="1"/>
  <c r="X60" i="53"/>
  <c r="Y60" i="53"/>
  <c r="Z60" i="53"/>
  <c r="AD60" i="53" s="1"/>
  <c r="X61" i="53"/>
  <c r="Y61" i="53"/>
  <c r="Z61" i="53"/>
  <c r="AD61" i="53" s="1"/>
  <c r="X62" i="53"/>
  <c r="Y62" i="53"/>
  <c r="Z62" i="53"/>
  <c r="AD62" i="53" s="1"/>
  <c r="X63" i="53"/>
  <c r="Y63" i="53"/>
  <c r="Z63" i="53"/>
  <c r="AD63" i="53" s="1"/>
  <c r="X64" i="53"/>
  <c r="Y64" i="53"/>
  <c r="Z64" i="53"/>
  <c r="AD64" i="53" s="1"/>
  <c r="X65" i="53"/>
  <c r="AB65" i="53" s="1"/>
  <c r="O65" i="53" s="1"/>
  <c r="Y65" i="53"/>
  <c r="Z65" i="53"/>
  <c r="AD65" i="53" s="1"/>
  <c r="X66" i="53"/>
  <c r="Y66" i="53"/>
  <c r="Z66" i="53"/>
  <c r="AD66" i="53" s="1"/>
  <c r="X67" i="53"/>
  <c r="Y67" i="53"/>
  <c r="Z67" i="53"/>
  <c r="AD67" i="53" s="1"/>
  <c r="X68" i="53"/>
  <c r="Y68" i="53"/>
  <c r="Z68" i="53"/>
  <c r="AD68" i="53" s="1"/>
  <c r="X69" i="53"/>
  <c r="Y69" i="53"/>
  <c r="Z69" i="53"/>
  <c r="AD69" i="53" s="1"/>
  <c r="X70" i="53"/>
  <c r="Y70" i="53"/>
  <c r="Z70" i="53"/>
  <c r="AD70" i="53" s="1"/>
  <c r="X71" i="53"/>
  <c r="Y71" i="53"/>
  <c r="Z71" i="53"/>
  <c r="AD71" i="53" s="1"/>
  <c r="Y20" i="53"/>
  <c r="AC20" i="53" s="1"/>
  <c r="Z20" i="53"/>
  <c r="AD20" i="53" s="1"/>
  <c r="X20" i="53"/>
  <c r="AB20" i="53" s="1"/>
  <c r="AA51" i="30"/>
  <c r="AA48" i="30"/>
  <c r="AA46" i="30"/>
  <c r="AA44" i="30"/>
  <c r="AA42" i="30"/>
  <c r="AA40" i="30"/>
  <c r="AA38" i="30"/>
  <c r="AA36" i="30"/>
  <c r="AC25" i="30"/>
  <c r="AC23" i="30"/>
  <c r="AC21" i="30"/>
  <c r="AC19" i="30"/>
  <c r="AC17" i="30"/>
  <c r="AC15" i="30"/>
  <c r="AC13" i="30"/>
  <c r="AC11" i="30"/>
  <c r="M22" i="19"/>
  <c r="N22" i="19"/>
  <c r="O22" i="19"/>
  <c r="P22" i="19"/>
  <c r="Q22" i="19"/>
  <c r="N24" i="19"/>
  <c r="P24" i="19"/>
  <c r="Q24" i="19"/>
  <c r="R24" i="19"/>
  <c r="M26" i="19"/>
  <c r="N26" i="19"/>
  <c r="O26" i="19"/>
  <c r="P26" i="19"/>
  <c r="Q26" i="19"/>
  <c r="R26" i="19"/>
  <c r="M28" i="19"/>
  <c r="N28" i="19"/>
  <c r="O28" i="19"/>
  <c r="P28" i="19"/>
  <c r="Q28" i="19"/>
  <c r="R28" i="19"/>
  <c r="M30" i="19"/>
  <c r="N30" i="19"/>
  <c r="O30" i="19"/>
  <c r="P30" i="19"/>
  <c r="Q30" i="19"/>
  <c r="R30" i="19"/>
  <c r="M32" i="19"/>
  <c r="N32" i="19"/>
  <c r="O32" i="19"/>
  <c r="P32" i="19"/>
  <c r="Q32" i="19"/>
  <c r="R32" i="19"/>
  <c r="M34" i="19"/>
  <c r="N34" i="19"/>
  <c r="O34" i="19"/>
  <c r="P34" i="19"/>
  <c r="Q34" i="19"/>
  <c r="R34" i="19"/>
  <c r="M36" i="19"/>
  <c r="N36" i="19"/>
  <c r="O36" i="19"/>
  <c r="P36" i="19"/>
  <c r="Q36" i="19"/>
  <c r="R36" i="19"/>
  <c r="N20" i="19"/>
  <c r="O20" i="19"/>
  <c r="P20" i="19"/>
  <c r="Q20" i="19"/>
  <c r="R20" i="19"/>
  <c r="M24" i="19"/>
  <c r="R22" i="19"/>
  <c r="O24" i="19"/>
  <c r="AL58" i="58"/>
  <c r="AL40" i="58"/>
  <c r="P53" i="58"/>
  <c r="O53" i="58"/>
  <c r="P40" i="58"/>
  <c r="O40" i="58"/>
  <c r="O25" i="58"/>
  <c r="O41" i="83" l="1"/>
  <c r="AB40" i="83"/>
  <c r="G42" i="83"/>
  <c r="V42" i="83" s="1"/>
  <c r="AF42" i="83" s="1"/>
  <c r="V41" i="83"/>
  <c r="AF41" i="83" s="1"/>
  <c r="AC39" i="83"/>
  <c r="P40" i="83"/>
  <c r="AC52" i="53"/>
  <c r="P52" i="53" s="1"/>
  <c r="AC48" i="53"/>
  <c r="P48" i="53" s="1"/>
  <c r="AC44" i="53"/>
  <c r="P44" i="53" s="1"/>
  <c r="AC40" i="53"/>
  <c r="P40" i="53" s="1"/>
  <c r="AC36" i="53"/>
  <c r="P36" i="53" s="1"/>
  <c r="AC32" i="53"/>
  <c r="P32" i="53" s="1"/>
  <c r="AC68" i="53"/>
  <c r="P68" i="53" s="1"/>
  <c r="AC64" i="53"/>
  <c r="P64" i="53" s="1"/>
  <c r="AC60" i="53"/>
  <c r="P60" i="53" s="1"/>
  <c r="AC56" i="53"/>
  <c r="P56" i="53" s="1"/>
  <c r="AB52" i="53"/>
  <c r="O52" i="53" s="1"/>
  <c r="AB48" i="53"/>
  <c r="O48" i="53" s="1"/>
  <c r="AB44" i="53"/>
  <c r="O44" i="53" s="1"/>
  <c r="AB36" i="53"/>
  <c r="O36" i="53" s="1"/>
  <c r="AB24" i="53"/>
  <c r="O24" i="53" s="1"/>
  <c r="AB68" i="53"/>
  <c r="O68" i="53" s="1"/>
  <c r="AB64" i="53"/>
  <c r="O64" i="53" s="1"/>
  <c r="AB60" i="53"/>
  <c r="O60" i="53" s="1"/>
  <c r="AB56" i="53"/>
  <c r="O56" i="53" s="1"/>
  <c r="AD51" i="53"/>
  <c r="Q51" i="53" s="1"/>
  <c r="AD47" i="53"/>
  <c r="Q47" i="53" s="1"/>
  <c r="AD43" i="53"/>
  <c r="Q43" i="53" s="1"/>
  <c r="AD39" i="53"/>
  <c r="Q39" i="53" s="1"/>
  <c r="AD35" i="53"/>
  <c r="Q35" i="53" s="1"/>
  <c r="AD31" i="53"/>
  <c r="Q31" i="53" s="1"/>
  <c r="AD27" i="53"/>
  <c r="Q27" i="53" s="1"/>
  <c r="AC51" i="53"/>
  <c r="P51" i="53" s="1"/>
  <c r="AC47" i="53"/>
  <c r="P47" i="53" s="1"/>
  <c r="AC43" i="53"/>
  <c r="P43" i="53" s="1"/>
  <c r="AC39" i="53"/>
  <c r="P39" i="53" s="1"/>
  <c r="AC35" i="53"/>
  <c r="P35" i="53" s="1"/>
  <c r="AC31" i="53"/>
  <c r="P31" i="53" s="1"/>
  <c r="AC71" i="53"/>
  <c r="P71" i="53" s="1"/>
  <c r="AC67" i="53"/>
  <c r="P67" i="53" s="1"/>
  <c r="AC63" i="53"/>
  <c r="P63" i="53" s="1"/>
  <c r="AC59" i="53"/>
  <c r="P59" i="53" s="1"/>
  <c r="AC55" i="53"/>
  <c r="P55" i="53" s="1"/>
  <c r="AB51" i="53"/>
  <c r="O51" i="53" s="1"/>
  <c r="AB47" i="53"/>
  <c r="O47" i="53" s="1"/>
  <c r="AB43" i="53"/>
  <c r="O43" i="53" s="1"/>
  <c r="AB39" i="53"/>
  <c r="O39" i="53" s="1"/>
  <c r="AB35" i="53"/>
  <c r="O35" i="53" s="1"/>
  <c r="AB31" i="53"/>
  <c r="O31" i="53" s="1"/>
  <c r="AB27" i="53"/>
  <c r="O27" i="53" s="1"/>
  <c r="AB71" i="53"/>
  <c r="O71" i="53" s="1"/>
  <c r="AB67" i="53"/>
  <c r="O67" i="53" s="1"/>
  <c r="AB63" i="53"/>
  <c r="O63" i="53" s="1"/>
  <c r="AB59" i="53"/>
  <c r="O59" i="53" s="1"/>
  <c r="AB55" i="53"/>
  <c r="O55" i="53" s="1"/>
  <c r="AD50" i="53"/>
  <c r="Q50" i="53" s="1"/>
  <c r="AD46" i="53"/>
  <c r="Q46" i="53" s="1"/>
  <c r="AD42" i="53"/>
  <c r="Q42" i="53" s="1"/>
  <c r="AD38" i="53"/>
  <c r="Q38" i="53" s="1"/>
  <c r="AD34" i="53"/>
  <c r="Q34" i="53" s="1"/>
  <c r="AD30" i="53"/>
  <c r="Q30" i="53" s="1"/>
  <c r="AD26" i="53"/>
  <c r="Q26" i="53" s="1"/>
  <c r="AC50" i="53"/>
  <c r="P50" i="53" s="1"/>
  <c r="AC46" i="53"/>
  <c r="P46" i="53" s="1"/>
  <c r="AC42" i="53"/>
  <c r="P42" i="53" s="1"/>
  <c r="AC38" i="53"/>
  <c r="P38" i="53" s="1"/>
  <c r="AC34" i="53"/>
  <c r="P34" i="53" s="1"/>
  <c r="AC30" i="53"/>
  <c r="P30" i="53" s="1"/>
  <c r="AC70" i="53"/>
  <c r="P70" i="53" s="1"/>
  <c r="AC66" i="53"/>
  <c r="P66" i="53" s="1"/>
  <c r="AC62" i="53"/>
  <c r="P62" i="53" s="1"/>
  <c r="AC58" i="53"/>
  <c r="P58" i="53" s="1"/>
  <c r="AC54" i="53"/>
  <c r="P54" i="53" s="1"/>
  <c r="AB50" i="53"/>
  <c r="O50" i="53" s="1"/>
  <c r="AB46" i="53"/>
  <c r="O46" i="53" s="1"/>
  <c r="AB42" i="53"/>
  <c r="O42" i="53" s="1"/>
  <c r="AB38" i="53"/>
  <c r="O38" i="53" s="1"/>
  <c r="AB34" i="53"/>
  <c r="O34" i="53" s="1"/>
  <c r="AB26" i="53"/>
  <c r="O26" i="53" s="1"/>
  <c r="AB70" i="53"/>
  <c r="O70" i="53" s="1"/>
  <c r="AB66" i="53"/>
  <c r="O66" i="53" s="1"/>
  <c r="AB62" i="53"/>
  <c r="O62" i="53" s="1"/>
  <c r="AB58" i="53"/>
  <c r="O58" i="53" s="1"/>
  <c r="AB54" i="53"/>
  <c r="O54" i="53" s="1"/>
  <c r="AD45" i="53"/>
  <c r="Q45" i="53" s="1"/>
  <c r="AD41" i="53"/>
  <c r="Q41" i="53" s="1"/>
  <c r="AD37" i="53"/>
  <c r="Q37" i="53" s="1"/>
  <c r="AD33" i="53"/>
  <c r="Q33" i="53" s="1"/>
  <c r="AD29" i="53"/>
  <c r="Q29" i="53" s="1"/>
  <c r="AD25" i="53"/>
  <c r="Q25" i="53" s="1"/>
  <c r="AB40" i="53"/>
  <c r="O40" i="53" s="1"/>
  <c r="AB32" i="53"/>
  <c r="O32" i="53" s="1"/>
  <c r="AB28" i="53"/>
  <c r="O28" i="53" s="1"/>
  <c r="AC49" i="53"/>
  <c r="P49" i="53" s="1"/>
  <c r="AC45" i="53"/>
  <c r="P45" i="53" s="1"/>
  <c r="AC41" i="53"/>
  <c r="P41" i="53" s="1"/>
  <c r="AC33" i="53"/>
  <c r="P33" i="53" s="1"/>
  <c r="AC29" i="53"/>
  <c r="P29" i="53" s="1"/>
  <c r="AC69" i="53"/>
  <c r="P69" i="53" s="1"/>
  <c r="AC65" i="53"/>
  <c r="P65" i="53" s="1"/>
  <c r="AC61" i="53"/>
  <c r="P61" i="53" s="1"/>
  <c r="AC57" i="53"/>
  <c r="P57" i="53" s="1"/>
  <c r="AB53" i="53"/>
  <c r="O53" i="53" s="1"/>
  <c r="AB49" i="53"/>
  <c r="O49" i="53" s="1"/>
  <c r="AB45" i="53"/>
  <c r="O45" i="53" s="1"/>
  <c r="AB41" i="53"/>
  <c r="O41" i="53" s="1"/>
  <c r="AB37" i="53"/>
  <c r="O37" i="53" s="1"/>
  <c r="AB33" i="53"/>
  <c r="O33" i="53" s="1"/>
  <c r="AB29" i="53"/>
  <c r="O29" i="53" s="1"/>
  <c r="AB25" i="53"/>
  <c r="O25" i="53" s="1"/>
  <c r="AB69" i="53"/>
  <c r="O69" i="53" s="1"/>
  <c r="AB61" i="53"/>
  <c r="O61" i="53" s="1"/>
  <c r="AB57" i="53"/>
  <c r="O57" i="53" s="1"/>
  <c r="AD48" i="53"/>
  <c r="Q48" i="53" s="1"/>
  <c r="AD44" i="53"/>
  <c r="Q44" i="53" s="1"/>
  <c r="AD40" i="53"/>
  <c r="Q40" i="53" s="1"/>
  <c r="AD36" i="53"/>
  <c r="Q36" i="53" s="1"/>
  <c r="AD32" i="53"/>
  <c r="Q32" i="53" s="1"/>
  <c r="AD28" i="53"/>
  <c r="Q28" i="53" s="1"/>
  <c r="AC53" i="53"/>
  <c r="P53" i="53" s="1"/>
  <c r="O42" i="83" l="1"/>
  <c r="AB42" i="83" s="1"/>
  <c r="AB41" i="83"/>
  <c r="AC40" i="83"/>
  <c r="P41" i="83"/>
  <c r="M12" i="29"/>
  <c r="M11" i="29"/>
  <c r="C18" i="29"/>
  <c r="Q18" i="29" s="1"/>
  <c r="C19" i="29"/>
  <c r="Q19" i="29" s="1"/>
  <c r="C20" i="29"/>
  <c r="Q20" i="29" s="1"/>
  <c r="C21" i="29"/>
  <c r="Q21" i="29" s="1"/>
  <c r="C22" i="29"/>
  <c r="Q22" i="29" s="1"/>
  <c r="C23" i="29"/>
  <c r="Q23" i="29" s="1"/>
  <c r="C24" i="29"/>
  <c r="Q24" i="29" s="1"/>
  <c r="C25" i="29"/>
  <c r="Q25" i="29" s="1"/>
  <c r="C26" i="29"/>
  <c r="Q26" i="29" s="1"/>
  <c r="C27" i="29"/>
  <c r="Q27" i="29" s="1"/>
  <c r="C28" i="29"/>
  <c r="Q28" i="29" s="1"/>
  <c r="C29" i="29"/>
  <c r="Q29" i="29" s="1"/>
  <c r="C30" i="29"/>
  <c r="Q30" i="29" s="1"/>
  <c r="C31" i="29"/>
  <c r="Q31" i="29" s="1"/>
  <c r="C32" i="29"/>
  <c r="Q32" i="29" s="1"/>
  <c r="C33" i="29"/>
  <c r="Q33" i="29" s="1"/>
  <c r="C34" i="29"/>
  <c r="Q34" i="29" s="1"/>
  <c r="C35" i="29"/>
  <c r="Q35" i="29" s="1"/>
  <c r="C36" i="29"/>
  <c r="Q36" i="29" s="1"/>
  <c r="C37" i="29"/>
  <c r="Q37" i="29" s="1"/>
  <c r="C38" i="29"/>
  <c r="Q38" i="29" s="1"/>
  <c r="C39" i="29"/>
  <c r="Q39" i="29" s="1"/>
  <c r="C40" i="29"/>
  <c r="Q40" i="29" s="1"/>
  <c r="C41" i="29"/>
  <c r="Q41" i="29" s="1"/>
  <c r="C42" i="29"/>
  <c r="Q42" i="29" s="1"/>
  <c r="C43" i="29"/>
  <c r="Q43" i="29" s="1"/>
  <c r="C44" i="29"/>
  <c r="Q44" i="29" s="1"/>
  <c r="C45" i="29"/>
  <c r="Q45" i="29" s="1"/>
  <c r="C46" i="29"/>
  <c r="Q46" i="29" s="1"/>
  <c r="C47" i="29"/>
  <c r="Q47" i="29" s="1"/>
  <c r="C48" i="29"/>
  <c r="Q48" i="29" s="1"/>
  <c r="C49" i="29"/>
  <c r="Q49" i="29" s="1"/>
  <c r="C50" i="29"/>
  <c r="Q50" i="29" s="1"/>
  <c r="C51" i="29"/>
  <c r="Q51" i="29" s="1"/>
  <c r="C52" i="29"/>
  <c r="Q52" i="29" s="1"/>
  <c r="C53" i="29"/>
  <c r="Q53" i="29" s="1"/>
  <c r="C54" i="29"/>
  <c r="Q54" i="29" s="1"/>
  <c r="C55" i="29"/>
  <c r="Q55" i="29" s="1"/>
  <c r="C56" i="29"/>
  <c r="Q56" i="29" s="1"/>
  <c r="C57" i="29"/>
  <c r="Q57" i="29" s="1"/>
  <c r="C58" i="29"/>
  <c r="Q58" i="29" s="1"/>
  <c r="C59" i="29"/>
  <c r="Q59" i="29" s="1"/>
  <c r="C60" i="29"/>
  <c r="Q60" i="29" s="1"/>
  <c r="C61" i="29"/>
  <c r="Q61" i="29" s="1"/>
  <c r="C62" i="29"/>
  <c r="Q62" i="29" s="1"/>
  <c r="C63" i="29"/>
  <c r="Q63" i="29" s="1"/>
  <c r="C64" i="29"/>
  <c r="Q64" i="29" s="1"/>
  <c r="C65" i="29"/>
  <c r="Q65" i="29" s="1"/>
  <c r="C66" i="29"/>
  <c r="Q66" i="29" s="1"/>
  <c r="C67" i="29"/>
  <c r="Q67" i="29" s="1"/>
  <c r="C68" i="29"/>
  <c r="Q68" i="29" s="1"/>
  <c r="C69" i="29"/>
  <c r="Q69" i="29" s="1"/>
  <c r="C70" i="29"/>
  <c r="Q70" i="29" s="1"/>
  <c r="C71" i="29"/>
  <c r="Q71" i="29" s="1"/>
  <c r="C72" i="29"/>
  <c r="Q72" i="29" s="1"/>
  <c r="C73" i="29"/>
  <c r="Q73" i="29" s="1"/>
  <c r="C74" i="29"/>
  <c r="Q74" i="29" s="1"/>
  <c r="C75" i="29"/>
  <c r="Q75" i="29" s="1"/>
  <c r="C76" i="29"/>
  <c r="Q76" i="29" s="1"/>
  <c r="C77" i="29"/>
  <c r="Q77" i="29" s="1"/>
  <c r="C78" i="29"/>
  <c r="Q78" i="29" s="1"/>
  <c r="C79" i="29"/>
  <c r="Q79" i="29" s="1"/>
  <c r="C80" i="29"/>
  <c r="Q80" i="29" s="1"/>
  <c r="C81" i="29"/>
  <c r="Q81" i="29" s="1"/>
  <c r="C82" i="29"/>
  <c r="Q82" i="29" s="1"/>
  <c r="C83" i="29"/>
  <c r="Q83" i="29" s="1"/>
  <c r="C84" i="29"/>
  <c r="Q84" i="29" s="1"/>
  <c r="C85" i="29"/>
  <c r="Q85" i="29" s="1"/>
  <c r="C86" i="29"/>
  <c r="Q86" i="29" s="1"/>
  <c r="C87" i="29"/>
  <c r="Q87" i="29" s="1"/>
  <c r="C88" i="29"/>
  <c r="Q88" i="29" s="1"/>
  <c r="C89" i="29"/>
  <c r="Q89" i="29" s="1"/>
  <c r="C90" i="29"/>
  <c r="Q90" i="29" s="1"/>
  <c r="C91" i="29"/>
  <c r="Q91" i="29" s="1"/>
  <c r="C92" i="29"/>
  <c r="Q92" i="29" s="1"/>
  <c r="C93" i="29"/>
  <c r="Q93" i="29" s="1"/>
  <c r="C94" i="29"/>
  <c r="Q94" i="29" s="1"/>
  <c r="C95" i="29"/>
  <c r="Q95" i="29" s="1"/>
  <c r="C96" i="29"/>
  <c r="Q96" i="29" s="1"/>
  <c r="C97" i="29"/>
  <c r="Q97" i="29" s="1"/>
  <c r="C98" i="29"/>
  <c r="Q98" i="29" s="1"/>
  <c r="C99" i="29"/>
  <c r="Q99" i="29" s="1"/>
  <c r="C100" i="29"/>
  <c r="Q100" i="29" s="1"/>
  <c r="C17" i="29"/>
  <c r="Q17" i="29" s="1"/>
  <c r="AA25" i="30"/>
  <c r="AA23" i="30"/>
  <c r="AA21" i="30"/>
  <c r="AA19" i="30"/>
  <c r="AA17" i="30"/>
  <c r="AA15" i="30"/>
  <c r="AA13" i="30"/>
  <c r="AA11" i="30"/>
  <c r="T11" i="30"/>
  <c r="R11" i="30"/>
  <c r="T25" i="30"/>
  <c r="T23" i="30"/>
  <c r="T21" i="30"/>
  <c r="T19" i="30"/>
  <c r="T17" i="30"/>
  <c r="T15" i="30"/>
  <c r="T13" i="30"/>
  <c r="R25" i="30"/>
  <c r="R23" i="30"/>
  <c r="R21" i="30"/>
  <c r="R19" i="30"/>
  <c r="R17" i="30"/>
  <c r="R15" i="30"/>
  <c r="R13" i="30"/>
  <c r="P25" i="30"/>
  <c r="Q25" i="30" s="1"/>
  <c r="P21" i="30"/>
  <c r="Q21" i="30" s="1"/>
  <c r="P13" i="30"/>
  <c r="Q13" i="30" s="1"/>
  <c r="P23" i="30"/>
  <c r="Q23" i="30" s="1"/>
  <c r="P19" i="30"/>
  <c r="Q19" i="30" s="1"/>
  <c r="P17" i="30"/>
  <c r="Q17" i="30" s="1"/>
  <c r="P15" i="30"/>
  <c r="Q15" i="30" s="1"/>
  <c r="P11" i="30"/>
  <c r="Q11" i="30" s="1"/>
  <c r="U11" i="30" l="1"/>
  <c r="V11" i="30" s="1"/>
  <c r="P42" i="83"/>
  <c r="AC42" i="83" s="1"/>
  <c r="AC41" i="83"/>
  <c r="U25" i="30"/>
  <c r="V25" i="30" s="1"/>
  <c r="U17" i="30"/>
  <c r="V17" i="30" s="1"/>
  <c r="U19" i="30"/>
  <c r="V19" i="30" s="1"/>
  <c r="U15" i="30"/>
  <c r="V15" i="30" s="1"/>
  <c r="U23" i="30"/>
  <c r="V23" i="30" s="1"/>
  <c r="U13" i="30"/>
  <c r="V13" i="30" s="1"/>
  <c r="U21" i="30"/>
  <c r="V21" i="30" s="1"/>
  <c r="AE32" i="58" l="1"/>
  <c r="AF32" i="58" s="1"/>
  <c r="AE26" i="58"/>
  <c r="AF26" i="58" s="1"/>
  <c r="AE28" i="58"/>
  <c r="AF28" i="58" s="1"/>
  <c r="AE29" i="58"/>
  <c r="AF29" i="58" s="1"/>
  <c r="AE30" i="58"/>
  <c r="AF30" i="58" s="1"/>
  <c r="AE31" i="58"/>
  <c r="AF31" i="58" s="1"/>
  <c r="T46" i="30" l="1"/>
  <c r="R36" i="30"/>
  <c r="U36" i="30" l="1"/>
  <c r="V36" i="30" s="1"/>
  <c r="T51" i="30"/>
  <c r="T48" i="30"/>
  <c r="T44" i="30"/>
  <c r="T42" i="30"/>
  <c r="T40" i="30"/>
  <c r="T38" i="30"/>
  <c r="R40" i="30"/>
  <c r="P42" i="30"/>
  <c r="Q42" i="30" s="1"/>
  <c r="R44" i="30"/>
  <c r="P46" i="30"/>
  <c r="Q46" i="30" s="1"/>
  <c r="R38" i="30"/>
  <c r="U38" i="30" s="1"/>
  <c r="V38" i="30" s="1"/>
  <c r="R51" i="30"/>
  <c r="P51" i="30"/>
  <c r="Q51" i="30" s="1"/>
  <c r="R48" i="30"/>
  <c r="P48" i="30"/>
  <c r="Q48" i="30" s="1"/>
  <c r="R46" i="30"/>
  <c r="U46" i="30" s="1"/>
  <c r="V46" i="30" s="1"/>
  <c r="P36" i="30"/>
  <c r="Q36" i="30" s="1"/>
  <c r="L25" i="58"/>
  <c r="M25" i="58"/>
  <c r="P25" i="58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16" i="7"/>
  <c r="U40" i="30" l="1"/>
  <c r="V40" i="30" s="1"/>
  <c r="U48" i="30"/>
  <c r="V48" i="30" s="1"/>
  <c r="U51" i="30"/>
  <c r="V51" i="30" s="1"/>
  <c r="U44" i="30"/>
  <c r="V44" i="30" s="1"/>
  <c r="R42" i="30"/>
  <c r="U42" i="30" s="1"/>
  <c r="V42" i="30" s="1"/>
  <c r="P44" i="30"/>
  <c r="Q44" i="30" s="1"/>
  <c r="P40" i="30"/>
  <c r="Q40" i="30" s="1"/>
  <c r="P38" i="30"/>
  <c r="Q38" i="30" s="1"/>
  <c r="AH17" i="6" l="1"/>
  <c r="AM60" i="58"/>
  <c r="AM59" i="58"/>
  <c r="AM42" i="58"/>
  <c r="AL42" i="58"/>
  <c r="AM41" i="58"/>
  <c r="AL41" i="58"/>
  <c r="AM40" i="58"/>
  <c r="AM32" i="58"/>
  <c r="AM31" i="58"/>
  <c r="AM30" i="58"/>
  <c r="AM29" i="58"/>
  <c r="AM28" i="58"/>
  <c r="AM27" i="58"/>
  <c r="AM26" i="58"/>
  <c r="AM25" i="58"/>
  <c r="AL32" i="58"/>
  <c r="AL31" i="58"/>
  <c r="AL30" i="58"/>
  <c r="AL29" i="58"/>
  <c r="AL28" i="58"/>
  <c r="AL27" i="58"/>
  <c r="AL26" i="58"/>
  <c r="AL25" i="58"/>
  <c r="AB41" i="58" l="1"/>
  <c r="AL55" i="58" l="1"/>
  <c r="AL54" i="58"/>
  <c r="AL46" i="58"/>
  <c r="AL45" i="58"/>
  <c r="AL43" i="58"/>
  <c r="T26" i="58"/>
  <c r="AM58" i="58"/>
  <c r="AM57" i="58"/>
  <c r="AM55" i="58"/>
  <c r="AM54" i="58"/>
  <c r="AM53" i="58"/>
  <c r="AB60" i="58"/>
  <c r="T53" i="58"/>
  <c r="T46" i="58"/>
  <c r="T42" i="58"/>
  <c r="AB32" i="58"/>
  <c r="AB30" i="58"/>
  <c r="T27" i="58"/>
  <c r="T28" i="58"/>
  <c r="T29" i="58"/>
  <c r="T30" i="58"/>
  <c r="T31" i="58"/>
  <c r="T25" i="58"/>
  <c r="AB55" i="58" l="1"/>
  <c r="T43" i="58"/>
  <c r="AL56" i="58"/>
  <c r="AL57" i="58"/>
  <c r="AB46" i="58"/>
  <c r="AM46" i="58"/>
  <c r="AL60" i="58"/>
  <c r="T55" i="58"/>
  <c r="AL44" i="58"/>
  <c r="AL59" i="58"/>
  <c r="AB47" i="58"/>
  <c r="AM47" i="58"/>
  <c r="T54" i="58"/>
  <c r="AM43" i="58"/>
  <c r="AM44" i="58"/>
  <c r="AB45" i="58"/>
  <c r="AM45" i="58"/>
  <c r="AL47" i="58"/>
  <c r="AM56" i="58"/>
  <c r="AL53" i="58"/>
  <c r="AB56" i="58"/>
  <c r="AB44" i="58"/>
  <c r="T56" i="58"/>
  <c r="T40" i="58"/>
  <c r="T60" i="58"/>
  <c r="T59" i="58"/>
  <c r="T44" i="58"/>
  <c r="T45" i="58"/>
  <c r="T57" i="58"/>
  <c r="T47" i="58"/>
  <c r="T58" i="58"/>
  <c r="T32" i="58"/>
  <c r="AB57" i="58"/>
  <c r="AB58" i="58"/>
  <c r="AB42" i="58"/>
  <c r="AB53" i="58"/>
  <c r="AB59" i="58"/>
  <c r="AB43" i="58"/>
  <c r="AB54" i="58"/>
  <c r="AB31" i="58"/>
  <c r="AB26" i="58"/>
  <c r="AB27" i="58"/>
  <c r="AB28" i="58"/>
  <c r="AB29" i="58"/>
  <c r="V20" i="72"/>
  <c r="V19" i="72"/>
  <c r="V18" i="72"/>
  <c r="V17" i="72"/>
  <c r="V16" i="72"/>
  <c r="V15" i="72"/>
  <c r="M20" i="72"/>
  <c r="M19" i="72"/>
  <c r="M18" i="72"/>
  <c r="M17" i="72"/>
  <c r="M16" i="72"/>
  <c r="M15" i="72"/>
  <c r="G20" i="72"/>
  <c r="G15" i="72"/>
  <c r="E36" i="72"/>
  <c r="D36" i="72"/>
  <c r="E35" i="72"/>
  <c r="D35" i="72"/>
  <c r="E34" i="72"/>
  <c r="D34" i="72"/>
  <c r="E33" i="72"/>
  <c r="D33" i="72"/>
  <c r="E32" i="72"/>
  <c r="D32" i="72"/>
  <c r="E31" i="72"/>
  <c r="D31" i="72"/>
  <c r="E30" i="72"/>
  <c r="D30" i="72"/>
  <c r="E29" i="72"/>
  <c r="D29" i="72"/>
  <c r="E28" i="72"/>
  <c r="D28" i="72"/>
  <c r="E27" i="72"/>
  <c r="D27" i="72"/>
  <c r="E26" i="72"/>
  <c r="D26" i="72"/>
  <c r="E25" i="72"/>
  <c r="D25" i="72"/>
  <c r="S20" i="72"/>
  <c r="C20" i="72"/>
  <c r="T20" i="72" s="1"/>
  <c r="S19" i="72"/>
  <c r="G19" i="72"/>
  <c r="C19" i="72"/>
  <c r="T19" i="72" s="1"/>
  <c r="S18" i="72"/>
  <c r="G18" i="72"/>
  <c r="F19" i="72" s="1"/>
  <c r="C18" i="72"/>
  <c r="T18" i="72" s="1"/>
  <c r="S17" i="72"/>
  <c r="G17" i="72"/>
  <c r="C17" i="72"/>
  <c r="S16" i="72"/>
  <c r="G16" i="72"/>
  <c r="F17" i="72" s="1"/>
  <c r="C16" i="72"/>
  <c r="T15" i="72"/>
  <c r="S15" i="72"/>
  <c r="S10" i="72"/>
  <c r="S9" i="72"/>
  <c r="S8" i="72"/>
  <c r="P25" i="11"/>
  <c r="P24" i="11"/>
  <c r="P23" i="11"/>
  <c r="P22" i="11"/>
  <c r="P21" i="11"/>
  <c r="P20" i="11"/>
  <c r="P19" i="11"/>
  <c r="P18" i="11"/>
  <c r="P17" i="11"/>
  <c r="P16" i="11"/>
  <c r="P15" i="11"/>
  <c r="R51" i="7"/>
  <c r="R50" i="7"/>
  <c r="R49" i="7"/>
  <c r="R48" i="7"/>
  <c r="R47" i="7"/>
  <c r="R46" i="7"/>
  <c r="R45" i="7"/>
  <c r="R44" i="7"/>
  <c r="R43" i="7"/>
  <c r="R42" i="7"/>
  <c r="R41" i="7"/>
  <c r="R40" i="7"/>
  <c r="R39" i="7"/>
  <c r="R38" i="7"/>
  <c r="R37" i="7"/>
  <c r="R36" i="7"/>
  <c r="R35" i="7"/>
  <c r="R34" i="7"/>
  <c r="R33" i="7"/>
  <c r="R32" i="7"/>
  <c r="R31" i="7"/>
  <c r="R30" i="7"/>
  <c r="R29" i="7"/>
  <c r="R28" i="7"/>
  <c r="R27" i="7"/>
  <c r="R26" i="7"/>
  <c r="R25" i="7"/>
  <c r="R24" i="7"/>
  <c r="R23" i="7"/>
  <c r="R22" i="7"/>
  <c r="R21" i="7"/>
  <c r="R20" i="7"/>
  <c r="R19" i="7"/>
  <c r="R18" i="7"/>
  <c r="R17" i="7"/>
  <c r="M14" i="63"/>
  <c r="M15" i="63"/>
  <c r="M16" i="63"/>
  <c r="M17" i="63"/>
  <c r="M18" i="63"/>
  <c r="M19" i="63"/>
  <c r="M20" i="63"/>
  <c r="M21" i="63"/>
  <c r="M22" i="63"/>
  <c r="M23" i="63"/>
  <c r="M24" i="63"/>
  <c r="M25" i="63"/>
  <c r="M26" i="63"/>
  <c r="M27" i="63"/>
  <c r="AK14" i="63"/>
  <c r="AD41" i="63"/>
  <c r="AD40" i="63"/>
  <c r="AD39" i="63"/>
  <c r="AD38" i="63"/>
  <c r="AD37" i="63"/>
  <c r="AD36" i="63"/>
  <c r="AD35" i="63"/>
  <c r="AD34" i="63"/>
  <c r="AD33" i="63"/>
  <c r="AD32" i="63"/>
  <c r="AD31" i="63"/>
  <c r="AD30" i="63"/>
  <c r="AD29" i="63"/>
  <c r="AD28" i="63"/>
  <c r="AD27" i="63"/>
  <c r="AD26" i="63"/>
  <c r="AD25" i="63"/>
  <c r="AD24" i="63"/>
  <c r="AD23" i="63"/>
  <c r="AD22" i="63"/>
  <c r="AD21" i="63"/>
  <c r="AD20" i="63"/>
  <c r="AD19" i="63"/>
  <c r="AD18" i="63"/>
  <c r="AD17" i="63"/>
  <c r="AD16" i="63"/>
  <c r="AD15" i="63"/>
  <c r="AK52" i="6"/>
  <c r="AK51" i="6"/>
  <c r="AK50" i="6"/>
  <c r="AK49" i="6"/>
  <c r="AK48" i="6"/>
  <c r="AK47" i="6"/>
  <c r="AK46" i="6"/>
  <c r="AK45" i="6"/>
  <c r="AK44" i="6"/>
  <c r="AK43" i="6"/>
  <c r="AK42" i="6"/>
  <c r="AK41" i="6"/>
  <c r="AK40" i="6"/>
  <c r="AK39" i="6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4" i="6"/>
  <c r="AK23" i="6"/>
  <c r="AK22" i="6"/>
  <c r="AK21" i="6"/>
  <c r="AK20" i="6"/>
  <c r="AK19" i="6"/>
  <c r="AK18" i="6"/>
  <c r="AK17" i="6"/>
  <c r="AD52" i="6"/>
  <c r="AD51" i="6"/>
  <c r="AD50" i="6"/>
  <c r="AD49" i="6"/>
  <c r="AD48" i="6"/>
  <c r="AD47" i="6"/>
  <c r="AD46" i="6"/>
  <c r="AD45" i="6"/>
  <c r="AD44" i="6"/>
  <c r="AD43" i="6"/>
  <c r="AD42" i="6"/>
  <c r="AD41" i="6"/>
  <c r="AD40" i="6"/>
  <c r="AD39" i="6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4" i="6"/>
  <c r="AD23" i="6"/>
  <c r="AD22" i="6"/>
  <c r="AD21" i="6"/>
  <c r="AD20" i="6"/>
  <c r="AD19" i="6"/>
  <c r="AD18" i="6"/>
  <c r="P14" i="11"/>
  <c r="G22" i="11"/>
  <c r="H22" i="11" s="1"/>
  <c r="G15" i="11"/>
  <c r="H15" i="11" s="1"/>
  <c r="I15" i="11"/>
  <c r="G16" i="11"/>
  <c r="H16" i="11" s="1"/>
  <c r="I16" i="11"/>
  <c r="G17" i="11"/>
  <c r="H17" i="11" s="1"/>
  <c r="I17" i="11"/>
  <c r="G18" i="11"/>
  <c r="H18" i="11"/>
  <c r="I18" i="11"/>
  <c r="G19" i="11"/>
  <c r="H19" i="11" s="1"/>
  <c r="I19" i="11"/>
  <c r="G20" i="11"/>
  <c r="H20" i="11" s="1"/>
  <c r="I20" i="11"/>
  <c r="G21" i="11"/>
  <c r="H21" i="11" s="1"/>
  <c r="I21" i="11"/>
  <c r="I22" i="11"/>
  <c r="G23" i="11"/>
  <c r="H23" i="11" s="1"/>
  <c r="I23" i="11"/>
  <c r="G24" i="11"/>
  <c r="H24" i="11" s="1"/>
  <c r="I24" i="11"/>
  <c r="G25" i="11"/>
  <c r="H25" i="11" s="1"/>
  <c r="I25" i="11"/>
  <c r="I14" i="11"/>
  <c r="G14" i="11"/>
  <c r="H14" i="11" s="1"/>
  <c r="F16" i="72" l="1"/>
  <c r="U16" i="72" s="1"/>
  <c r="U15" i="72"/>
  <c r="T17" i="72"/>
  <c r="T16" i="72"/>
  <c r="U19" i="72"/>
  <c r="U17" i="72"/>
  <c r="F18" i="72"/>
  <c r="U18" i="72" s="1"/>
  <c r="F20" i="72"/>
  <c r="U20" i="72" s="1"/>
  <c r="R16" i="7" l="1"/>
  <c r="H17" i="7"/>
  <c r="I17" i="7" s="1"/>
  <c r="H18" i="7"/>
  <c r="I18" i="7" s="1"/>
  <c r="H19" i="7"/>
  <c r="I19" i="7" s="1"/>
  <c r="H20" i="7"/>
  <c r="I20" i="7" s="1"/>
  <c r="H21" i="7"/>
  <c r="I21" i="7" s="1"/>
  <c r="H22" i="7"/>
  <c r="I22" i="7" s="1"/>
  <c r="H23" i="7"/>
  <c r="I23" i="7" s="1"/>
  <c r="H24" i="7"/>
  <c r="I24" i="7" s="1"/>
  <c r="H25" i="7"/>
  <c r="I25" i="7" s="1"/>
  <c r="H26" i="7"/>
  <c r="I26" i="7" s="1"/>
  <c r="H27" i="7"/>
  <c r="I27" i="7" s="1"/>
  <c r="H28" i="7"/>
  <c r="I28" i="7" s="1"/>
  <c r="H29" i="7"/>
  <c r="I29" i="7" s="1"/>
  <c r="H30" i="7"/>
  <c r="I30" i="7" s="1"/>
  <c r="H31" i="7"/>
  <c r="I31" i="7" s="1"/>
  <c r="H32" i="7"/>
  <c r="I32" i="7" s="1"/>
  <c r="H33" i="7"/>
  <c r="I33" i="7" s="1"/>
  <c r="H34" i="7"/>
  <c r="I34" i="7" s="1"/>
  <c r="H35" i="7"/>
  <c r="I35" i="7" s="1"/>
  <c r="H36" i="7"/>
  <c r="I36" i="7" s="1"/>
  <c r="H37" i="7"/>
  <c r="I37" i="7" s="1"/>
  <c r="H38" i="7"/>
  <c r="I38" i="7" s="1"/>
  <c r="H39" i="7"/>
  <c r="I39" i="7" s="1"/>
  <c r="H40" i="7"/>
  <c r="I40" i="7" s="1"/>
  <c r="H41" i="7"/>
  <c r="I41" i="7" s="1"/>
  <c r="H42" i="7"/>
  <c r="I42" i="7" s="1"/>
  <c r="H43" i="7"/>
  <c r="I43" i="7" s="1"/>
  <c r="H44" i="7"/>
  <c r="I44" i="7" s="1"/>
  <c r="H45" i="7"/>
  <c r="I45" i="7" s="1"/>
  <c r="H46" i="7"/>
  <c r="I46" i="7" s="1"/>
  <c r="H47" i="7"/>
  <c r="I47" i="7" s="1"/>
  <c r="H48" i="7"/>
  <c r="I48" i="7" s="1"/>
  <c r="H49" i="7"/>
  <c r="I49" i="7" s="1"/>
  <c r="H50" i="7"/>
  <c r="I50" i="7" s="1"/>
  <c r="H51" i="7"/>
  <c r="I51" i="7" s="1"/>
  <c r="H16" i="7"/>
  <c r="I16" i="7" s="1"/>
  <c r="AK25" i="63"/>
  <c r="AK24" i="63"/>
  <c r="AK23" i="63"/>
  <c r="AK22" i="63"/>
  <c r="AK21" i="63"/>
  <c r="AK20" i="63"/>
  <c r="AK19" i="63"/>
  <c r="AK18" i="63"/>
  <c r="AK17" i="63"/>
  <c r="AK16" i="63"/>
  <c r="AK15" i="63"/>
  <c r="AD17" i="6"/>
  <c r="B47" i="71" l="1"/>
  <c r="C47" i="71"/>
  <c r="C49" i="71"/>
  <c r="N49" i="71" s="1"/>
  <c r="B51" i="71"/>
  <c r="C51" i="71"/>
  <c r="N51" i="71" l="1"/>
  <c r="N47" i="71"/>
  <c r="J41" i="58"/>
  <c r="I42" i="58" s="1"/>
  <c r="J42" i="58"/>
  <c r="I43" i="58" s="1"/>
  <c r="J43" i="58"/>
  <c r="I44" i="58" s="1"/>
  <c r="J44" i="58"/>
  <c r="I45" i="58" s="1"/>
  <c r="J45" i="58"/>
  <c r="I46" i="58" s="1"/>
  <c r="J46" i="58"/>
  <c r="I47" i="58" s="1"/>
  <c r="AJ47" i="58" s="1"/>
  <c r="AJ40" i="58"/>
  <c r="I27" i="58"/>
  <c r="I28" i="58"/>
  <c r="I29" i="58"/>
  <c r="I30" i="58"/>
  <c r="I31" i="58"/>
  <c r="I32" i="58"/>
  <c r="I26" i="58"/>
  <c r="AI50" i="58"/>
  <c r="AI37" i="58"/>
  <c r="AJ42" i="58" l="1"/>
  <c r="AJ44" i="58"/>
  <c r="AJ43" i="58"/>
  <c r="AJ46" i="58"/>
  <c r="AJ45" i="58"/>
  <c r="J55" i="58"/>
  <c r="I41" i="58"/>
  <c r="AJ41" i="58" s="1"/>
  <c r="J16" i="53"/>
  <c r="L20" i="19"/>
  <c r="P51" i="6" l="1"/>
  <c r="P49" i="6"/>
  <c r="P47" i="6"/>
  <c r="P45" i="6"/>
  <c r="P43" i="6"/>
  <c r="P41" i="6"/>
  <c r="P39" i="6"/>
  <c r="P37" i="6"/>
  <c r="P35" i="6"/>
  <c r="P33" i="6"/>
  <c r="P31" i="6"/>
  <c r="P29" i="6"/>
  <c r="P27" i="6"/>
  <c r="P25" i="6"/>
  <c r="P23" i="6"/>
  <c r="P21" i="6"/>
  <c r="P19" i="6"/>
  <c r="P17" i="6"/>
  <c r="P11" i="61"/>
  <c r="T20" i="62"/>
  <c r="C14" i="68"/>
  <c r="C12" i="68"/>
  <c r="J21" i="53"/>
  <c r="P12" i="61"/>
  <c r="U11" i="60"/>
  <c r="S11" i="56"/>
  <c r="N10" i="62"/>
  <c r="N11" i="62"/>
  <c r="N9" i="62"/>
  <c r="U9" i="60"/>
  <c r="U10" i="60"/>
  <c r="U8" i="60"/>
  <c r="S9" i="56"/>
  <c r="S10" i="56"/>
  <c r="S8" i="56"/>
  <c r="J14" i="53"/>
  <c r="J15" i="53"/>
  <c r="J13" i="53"/>
  <c r="L10" i="19"/>
  <c r="L11" i="19"/>
  <c r="L9" i="19"/>
  <c r="AI18" i="58"/>
  <c r="AI19" i="58"/>
  <c r="AI17" i="58"/>
  <c r="K9" i="11"/>
  <c r="K10" i="11"/>
  <c r="K8" i="11"/>
  <c r="M11" i="7"/>
  <c r="M12" i="7"/>
  <c r="M10" i="7"/>
  <c r="Y9" i="63"/>
  <c r="Y10" i="63"/>
  <c r="Y8" i="63"/>
  <c r="Y12" i="6"/>
  <c r="Y13" i="6"/>
  <c r="Y11" i="6"/>
  <c r="P47" i="61"/>
  <c r="P48" i="61"/>
  <c r="P9" i="61"/>
  <c r="P10" i="61"/>
  <c r="P8" i="61"/>
  <c r="G9" i="33" l="1"/>
  <c r="G8" i="33"/>
  <c r="R9" i="33"/>
  <c r="R8" i="33"/>
  <c r="K12" i="11"/>
  <c r="H18" i="6"/>
  <c r="H19" i="6"/>
  <c r="H20" i="6"/>
  <c r="H21" i="6"/>
  <c r="H23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17" i="6"/>
  <c r="Q15" i="63"/>
  <c r="Q16" i="63"/>
  <c r="Q17" i="63"/>
  <c r="Q18" i="63"/>
  <c r="Q19" i="63"/>
  <c r="Q20" i="63"/>
  <c r="Q21" i="63"/>
  <c r="Q22" i="63"/>
  <c r="Q23" i="63"/>
  <c r="Q24" i="63"/>
  <c r="Q25" i="63"/>
  <c r="Q14" i="63"/>
  <c r="I15" i="63"/>
  <c r="I16" i="63"/>
  <c r="I17" i="63"/>
  <c r="I18" i="63"/>
  <c r="I19" i="63"/>
  <c r="I20" i="63"/>
  <c r="I21" i="63"/>
  <c r="I22" i="63"/>
  <c r="I23" i="63"/>
  <c r="I24" i="63"/>
  <c r="I25" i="63"/>
  <c r="I26" i="63"/>
  <c r="I27" i="63"/>
  <c r="I28" i="63"/>
  <c r="I29" i="63"/>
  <c r="I30" i="63"/>
  <c r="I31" i="63"/>
  <c r="I32" i="63"/>
  <c r="I33" i="63"/>
  <c r="I34" i="63"/>
  <c r="I35" i="63"/>
  <c r="I36" i="63"/>
  <c r="I37" i="63"/>
  <c r="I38" i="63"/>
  <c r="I39" i="63"/>
  <c r="I40" i="63"/>
  <c r="I41" i="63"/>
  <c r="I14" i="63"/>
  <c r="AA29" i="63"/>
  <c r="AA28" i="63"/>
  <c r="AA27" i="63"/>
  <c r="AA26" i="63"/>
  <c r="R18" i="62"/>
  <c r="R19" i="62"/>
  <c r="R20" i="62"/>
  <c r="R21" i="62"/>
  <c r="R22" i="62"/>
  <c r="R23" i="62"/>
  <c r="R24" i="62"/>
  <c r="R26" i="62"/>
  <c r="R27" i="62"/>
  <c r="R28" i="62"/>
  <c r="R29" i="62"/>
  <c r="R30" i="62"/>
  <c r="R31" i="62"/>
  <c r="R32" i="62"/>
  <c r="AA41" i="63"/>
  <c r="AA40" i="63"/>
  <c r="AA39" i="63"/>
  <c r="AA38" i="63"/>
  <c r="AA37" i="63"/>
  <c r="AA36" i="63"/>
  <c r="AA35" i="63"/>
  <c r="AA34" i="63"/>
  <c r="AA33" i="63"/>
  <c r="AA32" i="63"/>
  <c r="AA31" i="63"/>
  <c r="AA30" i="63"/>
  <c r="AA25" i="63"/>
  <c r="AA24" i="63"/>
  <c r="AA23" i="63"/>
  <c r="AA22" i="63"/>
  <c r="AA21" i="63"/>
  <c r="AA20" i="63"/>
  <c r="AA19" i="63"/>
  <c r="AA18" i="63"/>
  <c r="AA17" i="63"/>
  <c r="AA16" i="63"/>
  <c r="AA15" i="63"/>
  <c r="AA14" i="63"/>
  <c r="O21" i="63"/>
  <c r="N21" i="63"/>
  <c r="O20" i="63"/>
  <c r="N20" i="63"/>
  <c r="O19" i="63"/>
  <c r="N19" i="63"/>
  <c r="O18" i="63"/>
  <c r="N18" i="63"/>
  <c r="O17" i="63"/>
  <c r="N17" i="63"/>
  <c r="O16" i="63"/>
  <c r="N16" i="63"/>
  <c r="O15" i="63"/>
  <c r="N15" i="63"/>
  <c r="O14" i="63"/>
  <c r="N14" i="63"/>
  <c r="O41" i="63"/>
  <c r="M41" i="63"/>
  <c r="N41" i="63" s="1"/>
  <c r="O40" i="63"/>
  <c r="M40" i="63"/>
  <c r="N40" i="63" s="1"/>
  <c r="O39" i="63"/>
  <c r="M39" i="63"/>
  <c r="N39" i="63" s="1"/>
  <c r="O38" i="63"/>
  <c r="M38" i="63"/>
  <c r="N38" i="63" s="1"/>
  <c r="O37" i="63"/>
  <c r="M37" i="63"/>
  <c r="N37" i="63" s="1"/>
  <c r="O36" i="63"/>
  <c r="M36" i="63"/>
  <c r="N36" i="63" s="1"/>
  <c r="O35" i="63"/>
  <c r="M35" i="63"/>
  <c r="N35" i="63" s="1"/>
  <c r="O34" i="63"/>
  <c r="M34" i="63"/>
  <c r="N34" i="63" s="1"/>
  <c r="W25" i="63"/>
  <c r="U25" i="63"/>
  <c r="V25" i="63" s="1"/>
  <c r="O33" i="63"/>
  <c r="M33" i="63"/>
  <c r="N33" i="63" s="1"/>
  <c r="W24" i="63"/>
  <c r="U24" i="63"/>
  <c r="V24" i="63" s="1"/>
  <c r="O32" i="63"/>
  <c r="M32" i="63"/>
  <c r="N32" i="63" s="1"/>
  <c r="W23" i="63"/>
  <c r="U23" i="63"/>
  <c r="V23" i="63" s="1"/>
  <c r="O31" i="63"/>
  <c r="M31" i="63"/>
  <c r="N31" i="63" s="1"/>
  <c r="W22" i="63"/>
  <c r="U22" i="63"/>
  <c r="V22" i="63" s="1"/>
  <c r="O30" i="63"/>
  <c r="M30" i="63"/>
  <c r="N30" i="63" s="1"/>
  <c r="W21" i="63"/>
  <c r="U21" i="63"/>
  <c r="V21" i="63" s="1"/>
  <c r="O29" i="63"/>
  <c r="M29" i="63"/>
  <c r="N29" i="63" s="1"/>
  <c r="W20" i="63"/>
  <c r="U20" i="63"/>
  <c r="V20" i="63" s="1"/>
  <c r="O28" i="63"/>
  <c r="M28" i="63"/>
  <c r="N28" i="63" s="1"/>
  <c r="W19" i="63"/>
  <c r="U19" i="63"/>
  <c r="V19" i="63" s="1"/>
  <c r="O27" i="63"/>
  <c r="N27" i="63"/>
  <c r="W18" i="63"/>
  <c r="U18" i="63"/>
  <c r="V18" i="63" s="1"/>
  <c r="O26" i="63"/>
  <c r="N26" i="63"/>
  <c r="W17" i="63"/>
  <c r="U17" i="63"/>
  <c r="V17" i="63" s="1"/>
  <c r="O25" i="63"/>
  <c r="N25" i="63"/>
  <c r="W16" i="63"/>
  <c r="U16" i="63"/>
  <c r="V16" i="63" s="1"/>
  <c r="O24" i="63"/>
  <c r="N24" i="63"/>
  <c r="W15" i="63"/>
  <c r="U15" i="63"/>
  <c r="V15" i="63" s="1"/>
  <c r="O23" i="63"/>
  <c r="N23" i="63"/>
  <c r="W14" i="63"/>
  <c r="U14" i="63"/>
  <c r="V14" i="63" s="1"/>
  <c r="O22" i="63"/>
  <c r="N22" i="63"/>
  <c r="V52" i="6"/>
  <c r="V51" i="6"/>
  <c r="T48" i="6"/>
  <c r="U48" i="6" s="1"/>
  <c r="V47" i="6"/>
  <c r="V44" i="6"/>
  <c r="V43" i="6"/>
  <c r="V39" i="6"/>
  <c r="V36" i="6"/>
  <c r="T35" i="6"/>
  <c r="U35" i="6" s="1"/>
  <c r="T31" i="6"/>
  <c r="U31" i="6" s="1"/>
  <c r="V28" i="6"/>
  <c r="V27" i="6"/>
  <c r="V24" i="6"/>
  <c r="V23" i="6"/>
  <c r="V20" i="6"/>
  <c r="V19" i="6"/>
  <c r="L48" i="6"/>
  <c r="M48" i="6" s="1"/>
  <c r="L47" i="6"/>
  <c r="M47" i="6" s="1"/>
  <c r="N44" i="6"/>
  <c r="N43" i="6"/>
  <c r="L40" i="6"/>
  <c r="M40" i="6" s="1"/>
  <c r="L39" i="6"/>
  <c r="M39" i="6" s="1"/>
  <c r="L36" i="6"/>
  <c r="M36" i="6" s="1"/>
  <c r="L35" i="6"/>
  <c r="M35" i="6" s="1"/>
  <c r="N28" i="6"/>
  <c r="L27" i="6"/>
  <c r="M27" i="6" s="1"/>
  <c r="L24" i="6"/>
  <c r="M24" i="6" s="1"/>
  <c r="L23" i="6"/>
  <c r="M23" i="6" s="1"/>
  <c r="N19" i="6"/>
  <c r="L20" i="6"/>
  <c r="M20" i="6" s="1"/>
  <c r="V18" i="6"/>
  <c r="V21" i="6"/>
  <c r="V22" i="6"/>
  <c r="V25" i="6"/>
  <c r="V26" i="6"/>
  <c r="V29" i="6"/>
  <c r="V30" i="6"/>
  <c r="V31" i="6"/>
  <c r="V32" i="6"/>
  <c r="V33" i="6"/>
  <c r="V34" i="6"/>
  <c r="V37" i="6"/>
  <c r="V38" i="6"/>
  <c r="V40" i="6"/>
  <c r="V41" i="6"/>
  <c r="V42" i="6"/>
  <c r="V45" i="6"/>
  <c r="V46" i="6"/>
  <c r="V48" i="6"/>
  <c r="V49" i="6"/>
  <c r="V50" i="6"/>
  <c r="V17" i="6"/>
  <c r="N21" i="6"/>
  <c r="N22" i="6"/>
  <c r="N25" i="6"/>
  <c r="N26" i="6"/>
  <c r="N29" i="6"/>
  <c r="N30" i="6"/>
  <c r="N31" i="6"/>
  <c r="N32" i="6"/>
  <c r="N33" i="6"/>
  <c r="N34" i="6"/>
  <c r="N37" i="6"/>
  <c r="N38" i="6"/>
  <c r="N40" i="6"/>
  <c r="N41" i="6"/>
  <c r="N42" i="6"/>
  <c r="N45" i="6"/>
  <c r="N46" i="6"/>
  <c r="N47" i="6"/>
  <c r="N48" i="6"/>
  <c r="N49" i="6"/>
  <c r="N50" i="6"/>
  <c r="N51" i="6"/>
  <c r="N52" i="6"/>
  <c r="N17" i="6"/>
  <c r="N18" i="6"/>
  <c r="T18" i="6"/>
  <c r="U18" i="6" s="1"/>
  <c r="T21" i="6"/>
  <c r="U21" i="6" s="1"/>
  <c r="T22" i="6"/>
  <c r="U22" i="6" s="1"/>
  <c r="T25" i="6"/>
  <c r="U25" i="6" s="1"/>
  <c r="T26" i="6"/>
  <c r="U26" i="6" s="1"/>
  <c r="T29" i="6"/>
  <c r="U29" i="6" s="1"/>
  <c r="T30" i="6"/>
  <c r="U30" i="6" s="1"/>
  <c r="T32" i="6"/>
  <c r="U32" i="6" s="1"/>
  <c r="T33" i="6"/>
  <c r="U33" i="6" s="1"/>
  <c r="T34" i="6"/>
  <c r="U34" i="6" s="1"/>
  <c r="T36" i="6"/>
  <c r="U36" i="6" s="1"/>
  <c r="T37" i="6"/>
  <c r="U37" i="6" s="1"/>
  <c r="T38" i="6"/>
  <c r="U38" i="6" s="1"/>
  <c r="T40" i="6"/>
  <c r="U40" i="6" s="1"/>
  <c r="T41" i="6"/>
  <c r="U41" i="6" s="1"/>
  <c r="T42" i="6"/>
  <c r="U42" i="6" s="1"/>
  <c r="T45" i="6"/>
  <c r="U45" i="6" s="1"/>
  <c r="T46" i="6"/>
  <c r="U46" i="6" s="1"/>
  <c r="T49" i="6"/>
  <c r="U49" i="6" s="1"/>
  <c r="T50" i="6"/>
  <c r="U50" i="6" s="1"/>
  <c r="T52" i="6"/>
  <c r="U52" i="6" s="1"/>
  <c r="T17" i="6"/>
  <c r="U17" i="6" s="1"/>
  <c r="L18" i="6"/>
  <c r="M18" i="6" s="1"/>
  <c r="L21" i="6"/>
  <c r="M21" i="6" s="1"/>
  <c r="L22" i="6"/>
  <c r="M22" i="6" s="1"/>
  <c r="L25" i="6"/>
  <c r="M25" i="6" s="1"/>
  <c r="L26" i="6"/>
  <c r="M26" i="6" s="1"/>
  <c r="L29" i="6"/>
  <c r="M29" i="6" s="1"/>
  <c r="L30" i="6"/>
  <c r="M30" i="6" s="1"/>
  <c r="L31" i="6"/>
  <c r="M31" i="6" s="1"/>
  <c r="L32" i="6"/>
  <c r="M32" i="6" s="1"/>
  <c r="L33" i="6"/>
  <c r="M33" i="6" s="1"/>
  <c r="L34" i="6"/>
  <c r="M34" i="6" s="1"/>
  <c r="L37" i="6"/>
  <c r="M37" i="6" s="1"/>
  <c r="L38" i="6"/>
  <c r="M38" i="6" s="1"/>
  <c r="L41" i="6"/>
  <c r="M41" i="6" s="1"/>
  <c r="L42" i="6"/>
  <c r="M42" i="6" s="1"/>
  <c r="L43" i="6"/>
  <c r="M43" i="6" s="1"/>
  <c r="L44" i="6"/>
  <c r="M44" i="6" s="1"/>
  <c r="L45" i="6"/>
  <c r="M45" i="6" s="1"/>
  <c r="L46" i="6"/>
  <c r="M46" i="6" s="1"/>
  <c r="L49" i="6"/>
  <c r="M49" i="6" s="1"/>
  <c r="L50" i="6"/>
  <c r="M50" i="6" s="1"/>
  <c r="L51" i="6"/>
  <c r="M51" i="6" s="1"/>
  <c r="L52" i="6"/>
  <c r="M52" i="6" s="1"/>
  <c r="L17" i="6"/>
  <c r="M17" i="6" s="1"/>
  <c r="S48" i="33"/>
  <c r="S49" i="33"/>
  <c r="S50" i="33"/>
  <c r="S51" i="33"/>
  <c r="S47" i="33"/>
  <c r="S29" i="33"/>
  <c r="S30" i="33"/>
  <c r="S31" i="33"/>
  <c r="S32" i="33"/>
  <c r="S33" i="33"/>
  <c r="S28" i="33"/>
  <c r="S17" i="33"/>
  <c r="S18" i="33"/>
  <c r="S19" i="33"/>
  <c r="S20" i="33"/>
  <c r="S16" i="33"/>
  <c r="Y52" i="30"/>
  <c r="Y51" i="30"/>
  <c r="Y49" i="30"/>
  <c r="Y48" i="30"/>
  <c r="Y47" i="30"/>
  <c r="Y46" i="30"/>
  <c r="Y45" i="30"/>
  <c r="Y44" i="30"/>
  <c r="Y43" i="30"/>
  <c r="Y42" i="30"/>
  <c r="Y41" i="30"/>
  <c r="Y40" i="30"/>
  <c r="Y39" i="30"/>
  <c r="Y38" i="30"/>
  <c r="Y37" i="30"/>
  <c r="Y36" i="30"/>
  <c r="Y26" i="30"/>
  <c r="Y25" i="30"/>
  <c r="Y24" i="30"/>
  <c r="Y23" i="30"/>
  <c r="Y22" i="30"/>
  <c r="Y21" i="30"/>
  <c r="Y20" i="30"/>
  <c r="Y19" i="30"/>
  <c r="Y18" i="30"/>
  <c r="Y17" i="30"/>
  <c r="Y16" i="30"/>
  <c r="Y15" i="30"/>
  <c r="Y14" i="30"/>
  <c r="Y13" i="30"/>
  <c r="Y12" i="30"/>
  <c r="Y11" i="30"/>
  <c r="AH52" i="6"/>
  <c r="AH51" i="6"/>
  <c r="AH50" i="6"/>
  <c r="AH49" i="6"/>
  <c r="AH48" i="6"/>
  <c r="AH47" i="6"/>
  <c r="AH46" i="6"/>
  <c r="AH45" i="6"/>
  <c r="AH44" i="6"/>
  <c r="AH43" i="6"/>
  <c r="AH42" i="6"/>
  <c r="AH41" i="6"/>
  <c r="AH40" i="6"/>
  <c r="AH39" i="6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4" i="6"/>
  <c r="AH23" i="6"/>
  <c r="AH22" i="6"/>
  <c r="AH21" i="6"/>
  <c r="AH20" i="6"/>
  <c r="AH19" i="6"/>
  <c r="AH18" i="6"/>
  <c r="F9" i="33" l="1"/>
  <c r="S9" i="33" s="1"/>
  <c r="S8" i="33"/>
  <c r="T28" i="6"/>
  <c r="U28" i="6" s="1"/>
  <c r="V35" i="6"/>
  <c r="L28" i="6"/>
  <c r="M28" i="6" s="1"/>
  <c r="N27" i="6"/>
  <c r="N24" i="6"/>
  <c r="T51" i="6"/>
  <c r="U51" i="6" s="1"/>
  <c r="T24" i="6"/>
  <c r="U24" i="6" s="1"/>
  <c r="T44" i="6"/>
  <c r="U44" i="6" s="1"/>
  <c r="T47" i="6"/>
  <c r="U47" i="6" s="1"/>
  <c r="T43" i="6"/>
  <c r="U43" i="6" s="1"/>
  <c r="T20" i="6"/>
  <c r="U20" i="6" s="1"/>
  <c r="T23" i="6"/>
  <c r="U23" i="6" s="1"/>
  <c r="T19" i="6"/>
  <c r="U19" i="6" s="1"/>
  <c r="T39" i="6"/>
  <c r="U39" i="6" s="1"/>
  <c r="T27" i="6"/>
  <c r="U27" i="6" s="1"/>
  <c r="N36" i="6"/>
  <c r="N35" i="6"/>
  <c r="N23" i="6"/>
  <c r="N39" i="6"/>
  <c r="N20" i="6"/>
  <c r="L19" i="6"/>
  <c r="M19" i="6" s="1"/>
  <c r="K18" i="29"/>
  <c r="K19" i="29"/>
  <c r="K20" i="29"/>
  <c r="K21" i="29"/>
  <c r="K22" i="29"/>
  <c r="K23" i="29"/>
  <c r="K24" i="29"/>
  <c r="K25" i="29"/>
  <c r="K26" i="29"/>
  <c r="K27" i="29"/>
  <c r="K28" i="29"/>
  <c r="K29" i="29"/>
  <c r="K30" i="29"/>
  <c r="K31" i="29"/>
  <c r="K32" i="29"/>
  <c r="K33" i="29"/>
  <c r="K34" i="29"/>
  <c r="K35" i="29"/>
  <c r="K36" i="29"/>
  <c r="K37" i="29"/>
  <c r="K38" i="29"/>
  <c r="K39" i="29"/>
  <c r="K40" i="29"/>
  <c r="K41" i="29"/>
  <c r="K42" i="29"/>
  <c r="K43" i="29"/>
  <c r="K44" i="29"/>
  <c r="K45" i="29"/>
  <c r="K46" i="29"/>
  <c r="K47" i="29"/>
  <c r="K48" i="29"/>
  <c r="K49" i="29"/>
  <c r="K50" i="29"/>
  <c r="K51" i="29"/>
  <c r="K52" i="29"/>
  <c r="K53" i="29"/>
  <c r="K54" i="29"/>
  <c r="K55" i="29"/>
  <c r="K56" i="29"/>
  <c r="K57" i="29"/>
  <c r="K58" i="29"/>
  <c r="K59" i="29"/>
  <c r="K60" i="29"/>
  <c r="K61" i="29"/>
  <c r="K62" i="29"/>
  <c r="K63" i="29"/>
  <c r="K64" i="29"/>
  <c r="K65" i="29"/>
  <c r="K66" i="29"/>
  <c r="K67" i="29"/>
  <c r="K68" i="29"/>
  <c r="K69" i="29"/>
  <c r="K70" i="29"/>
  <c r="K71" i="29"/>
  <c r="K72" i="29"/>
  <c r="K73" i="29"/>
  <c r="K74" i="29"/>
  <c r="K75" i="29"/>
  <c r="K76" i="29"/>
  <c r="K77" i="29"/>
  <c r="K78" i="29"/>
  <c r="K79" i="29"/>
  <c r="K80" i="29"/>
  <c r="K81" i="29"/>
  <c r="K82" i="29"/>
  <c r="K83" i="29"/>
  <c r="K84" i="29"/>
  <c r="K85" i="29"/>
  <c r="K86" i="29"/>
  <c r="K87" i="29"/>
  <c r="K88" i="29"/>
  <c r="K89" i="29"/>
  <c r="K90" i="29"/>
  <c r="K91" i="29"/>
  <c r="K92" i="29"/>
  <c r="K93" i="29"/>
  <c r="K94" i="29"/>
  <c r="K95" i="29"/>
  <c r="K96" i="29"/>
  <c r="K97" i="29"/>
  <c r="K98" i="29"/>
  <c r="K99" i="29"/>
  <c r="K100" i="29"/>
  <c r="K17" i="29"/>
  <c r="L21" i="19"/>
  <c r="N14" i="62"/>
  <c r="N18" i="62"/>
  <c r="T18" i="62"/>
  <c r="V18" i="62"/>
  <c r="N19" i="62"/>
  <c r="T19" i="62"/>
  <c r="V19" i="62"/>
  <c r="V20" i="62"/>
  <c r="N21" i="62"/>
  <c r="T21" i="62"/>
  <c r="V21" i="62"/>
  <c r="N22" i="62"/>
  <c r="T22" i="62"/>
  <c r="V22" i="62"/>
  <c r="T23" i="62"/>
  <c r="V23" i="62"/>
  <c r="N24" i="62"/>
  <c r="T24" i="62"/>
  <c r="V24" i="62"/>
  <c r="N25" i="62"/>
  <c r="T25" i="62"/>
  <c r="V25" i="62"/>
  <c r="T26" i="62"/>
  <c r="V26" i="62"/>
  <c r="N27" i="62"/>
  <c r="T27" i="62"/>
  <c r="V27" i="62"/>
  <c r="N28" i="62"/>
  <c r="T28" i="62"/>
  <c r="V28" i="62"/>
  <c r="T29" i="62"/>
  <c r="V29" i="62"/>
  <c r="N30" i="62"/>
  <c r="T30" i="62"/>
  <c r="V30" i="62"/>
  <c r="N31" i="62"/>
  <c r="T31" i="62"/>
  <c r="V31" i="62"/>
  <c r="T32" i="62"/>
  <c r="V32" i="62"/>
  <c r="R48" i="33"/>
  <c r="R49" i="33"/>
  <c r="R50" i="33"/>
  <c r="R51" i="33"/>
  <c r="R47" i="33"/>
  <c r="S41" i="56"/>
  <c r="S37" i="56"/>
  <c r="S33" i="56"/>
  <c r="S29" i="56"/>
  <c r="S25" i="56"/>
  <c r="P42" i="61"/>
  <c r="P38" i="61"/>
  <c r="P34" i="61"/>
  <c r="P30" i="61"/>
  <c r="P26" i="61"/>
  <c r="P41" i="61"/>
  <c r="V40" i="61"/>
  <c r="P37" i="61"/>
  <c r="V36" i="61"/>
  <c r="P33" i="61"/>
  <c r="V33" i="61"/>
  <c r="V32" i="61"/>
  <c r="P29" i="61"/>
  <c r="V29" i="61"/>
  <c r="V28" i="61"/>
  <c r="P25" i="61"/>
  <c r="V25" i="61"/>
  <c r="P21" i="61"/>
  <c r="AB39" i="56"/>
  <c r="AA39" i="56"/>
  <c r="Z39" i="56"/>
  <c r="AB35" i="56"/>
  <c r="AA35" i="56"/>
  <c r="Z35" i="56"/>
  <c r="AB31" i="56"/>
  <c r="AA31" i="56"/>
  <c r="Z31" i="56"/>
  <c r="AB27" i="56"/>
  <c r="AA27" i="56"/>
  <c r="Z27" i="56"/>
  <c r="AA23" i="56"/>
  <c r="AD50" i="60"/>
  <c r="AD46" i="60"/>
  <c r="AD42" i="60"/>
  <c r="AD38" i="60"/>
  <c r="AD34" i="60"/>
  <c r="AD30" i="60"/>
  <c r="AC50" i="60"/>
  <c r="AC46" i="60"/>
  <c r="AC42" i="60"/>
  <c r="AC38" i="60"/>
  <c r="AC34" i="60"/>
  <c r="AC30" i="60"/>
  <c r="AB50" i="60"/>
  <c r="AB46" i="60"/>
  <c r="AB42" i="60"/>
  <c r="AB38" i="60"/>
  <c r="AB34" i="60"/>
  <c r="AB30" i="60"/>
  <c r="I51" i="60"/>
  <c r="I52" i="60" s="1"/>
  <c r="I53" i="60" s="1"/>
  <c r="AD53" i="60" s="1"/>
  <c r="I47" i="60"/>
  <c r="I48" i="60" s="1"/>
  <c r="I49" i="60" s="1"/>
  <c r="AD49" i="60" s="1"/>
  <c r="I43" i="60"/>
  <c r="I44" i="60" s="1"/>
  <c r="I45" i="60" s="1"/>
  <c r="AD45" i="60" s="1"/>
  <c r="I39" i="60"/>
  <c r="I40" i="60" s="1"/>
  <c r="I41" i="60" s="1"/>
  <c r="AD41" i="60" s="1"/>
  <c r="I35" i="60"/>
  <c r="I36" i="60" s="1"/>
  <c r="I37" i="60" s="1"/>
  <c r="AD37" i="60" s="1"/>
  <c r="I31" i="60"/>
  <c r="I32" i="60" s="1"/>
  <c r="I33" i="60" s="1"/>
  <c r="AD33" i="60" s="1"/>
  <c r="I27" i="60"/>
  <c r="I28" i="60" s="1"/>
  <c r="I29" i="60" s="1"/>
  <c r="AD29" i="60" s="1"/>
  <c r="H51" i="60"/>
  <c r="H52" i="60" s="1"/>
  <c r="AC52" i="60" s="1"/>
  <c r="H47" i="60"/>
  <c r="H48" i="60" s="1"/>
  <c r="AC48" i="60" s="1"/>
  <c r="U52" i="60"/>
  <c r="U48" i="60"/>
  <c r="U44" i="60"/>
  <c r="U40" i="60"/>
  <c r="U36" i="60"/>
  <c r="U32" i="60"/>
  <c r="U28" i="60"/>
  <c r="U51" i="60"/>
  <c r="U47" i="60"/>
  <c r="U43" i="60"/>
  <c r="H43" i="60"/>
  <c r="H44" i="60" s="1"/>
  <c r="AC44" i="60" s="1"/>
  <c r="U39" i="60"/>
  <c r="H39" i="60"/>
  <c r="H40" i="60" s="1"/>
  <c r="AB40" i="60" s="1"/>
  <c r="U35" i="60"/>
  <c r="H35" i="60"/>
  <c r="AC35" i="60" s="1"/>
  <c r="U31" i="60"/>
  <c r="H31" i="60"/>
  <c r="AC31" i="60" s="1"/>
  <c r="U27" i="60"/>
  <c r="H27" i="60"/>
  <c r="AB27" i="60" s="1"/>
  <c r="U23" i="60"/>
  <c r="F38" i="31"/>
  <c r="S38" i="31" s="1"/>
  <c r="F39" i="31"/>
  <c r="S39" i="31" s="1"/>
  <c r="F40" i="31"/>
  <c r="S40" i="31" s="1"/>
  <c r="F41" i="31"/>
  <c r="S41" i="31" s="1"/>
  <c r="F42" i="31"/>
  <c r="S42" i="31" s="1"/>
  <c r="F43" i="31"/>
  <c r="S43" i="31" s="1"/>
  <c r="F44" i="31"/>
  <c r="S44" i="31" s="1"/>
  <c r="F45" i="31"/>
  <c r="S45" i="31" s="1"/>
  <c r="F46" i="31"/>
  <c r="S46" i="31" s="1"/>
  <c r="F47" i="31"/>
  <c r="S47" i="31" s="1"/>
  <c r="F48" i="31"/>
  <c r="S48" i="31" s="1"/>
  <c r="F49" i="31"/>
  <c r="S49" i="31" s="1"/>
  <c r="F50" i="31"/>
  <c r="S50" i="31" s="1"/>
  <c r="F51" i="31"/>
  <c r="S51" i="31" s="1"/>
  <c r="F52" i="31"/>
  <c r="S52" i="31" s="1"/>
  <c r="F53" i="31"/>
  <c r="S53" i="31" s="1"/>
  <c r="F54" i="31"/>
  <c r="S54" i="31" s="1"/>
  <c r="F37" i="31"/>
  <c r="S37" i="31" s="1"/>
  <c r="F18" i="31"/>
  <c r="F19" i="31"/>
  <c r="F20" i="31"/>
  <c r="F21" i="31"/>
  <c r="F22" i="31"/>
  <c r="F23" i="31"/>
  <c r="F24" i="31"/>
  <c r="F25" i="31"/>
  <c r="F26" i="31"/>
  <c r="F27" i="31"/>
  <c r="F28" i="31"/>
  <c r="F29" i="31"/>
  <c r="F30" i="31"/>
  <c r="F31" i="31"/>
  <c r="F32" i="31"/>
  <c r="F17" i="31"/>
  <c r="AJ32" i="58"/>
  <c r="AJ31" i="58"/>
  <c r="AJ30" i="58"/>
  <c r="AJ29" i="58"/>
  <c r="AJ28" i="58"/>
  <c r="AJ27" i="58"/>
  <c r="AJ26" i="58"/>
  <c r="AJ25" i="58"/>
  <c r="AK60" i="58"/>
  <c r="J60" i="58"/>
  <c r="I60" i="58"/>
  <c r="G60" i="58"/>
  <c r="F60" i="58"/>
  <c r="AK59" i="58"/>
  <c r="J59" i="58"/>
  <c r="I59" i="58"/>
  <c r="G59" i="58"/>
  <c r="F59" i="58"/>
  <c r="AK58" i="58"/>
  <c r="J58" i="58"/>
  <c r="I58" i="58"/>
  <c r="G58" i="58"/>
  <c r="F58" i="58"/>
  <c r="AK57" i="58"/>
  <c r="J57" i="58"/>
  <c r="I57" i="58"/>
  <c r="G57" i="58"/>
  <c r="F57" i="58"/>
  <c r="AK56" i="58"/>
  <c r="J56" i="58"/>
  <c r="I56" i="58"/>
  <c r="G56" i="58"/>
  <c r="F56" i="58"/>
  <c r="AK55" i="58"/>
  <c r="I55" i="58"/>
  <c r="AJ55" i="58" s="1"/>
  <c r="G55" i="58"/>
  <c r="F55" i="58"/>
  <c r="AK54" i="58"/>
  <c r="J54" i="58"/>
  <c r="I54" i="58"/>
  <c r="G54" i="58"/>
  <c r="F54" i="58"/>
  <c r="C54" i="58"/>
  <c r="AK53" i="58"/>
  <c r="J53" i="58"/>
  <c r="I53" i="58"/>
  <c r="G53" i="58"/>
  <c r="F53" i="58"/>
  <c r="AK47" i="58"/>
  <c r="AI47" i="58"/>
  <c r="AK46" i="58"/>
  <c r="AI46" i="58"/>
  <c r="AK45" i="58"/>
  <c r="AI45" i="58"/>
  <c r="AK44" i="58"/>
  <c r="AI44" i="58"/>
  <c r="AK43" i="58"/>
  <c r="AI43" i="58"/>
  <c r="AK42" i="58"/>
  <c r="AI42" i="58"/>
  <c r="AK41" i="58"/>
  <c r="AI41" i="58"/>
  <c r="C41" i="58"/>
  <c r="AK40" i="58"/>
  <c r="AI40" i="58"/>
  <c r="AK32" i="58"/>
  <c r="AI32" i="58"/>
  <c r="AK31" i="58"/>
  <c r="AI31" i="58"/>
  <c r="AK30" i="58"/>
  <c r="AI30" i="58"/>
  <c r="AK29" i="58"/>
  <c r="AI29" i="58"/>
  <c r="AK28" i="58"/>
  <c r="AI28" i="58"/>
  <c r="AK27" i="58"/>
  <c r="AI27" i="58"/>
  <c r="AK26" i="58"/>
  <c r="AI26" i="58"/>
  <c r="C26" i="58"/>
  <c r="AK25" i="58"/>
  <c r="AI25" i="58"/>
  <c r="G40" i="56"/>
  <c r="G41" i="56" s="1"/>
  <c r="G42" i="56" s="1"/>
  <c r="AB42" i="56" s="1"/>
  <c r="G36" i="56"/>
  <c r="G37" i="56" s="1"/>
  <c r="G38" i="56" s="1"/>
  <c r="AB38" i="56" s="1"/>
  <c r="G32" i="56"/>
  <c r="G33" i="56" s="1"/>
  <c r="G34" i="56" s="1"/>
  <c r="AB34" i="56" s="1"/>
  <c r="G28" i="56"/>
  <c r="G29" i="56" s="1"/>
  <c r="G30" i="56" s="1"/>
  <c r="AB30" i="56" s="1"/>
  <c r="G24" i="56"/>
  <c r="S40" i="56"/>
  <c r="S36" i="56"/>
  <c r="S32" i="56"/>
  <c r="S28" i="56"/>
  <c r="S24" i="56"/>
  <c r="S20" i="56"/>
  <c r="J22" i="53"/>
  <c r="J25" i="53"/>
  <c r="J26" i="53"/>
  <c r="J29" i="53"/>
  <c r="J30" i="53"/>
  <c r="J33" i="53"/>
  <c r="J34" i="53"/>
  <c r="J37" i="53"/>
  <c r="J38" i="53"/>
  <c r="J41" i="53"/>
  <c r="J42" i="53"/>
  <c r="J45" i="53"/>
  <c r="J46" i="53"/>
  <c r="J49" i="53"/>
  <c r="J50" i="53"/>
  <c r="J53" i="53"/>
  <c r="J54" i="53"/>
  <c r="D57" i="53"/>
  <c r="J57" i="53" s="1"/>
  <c r="J58" i="53"/>
  <c r="D61" i="53"/>
  <c r="J61" i="53" s="1"/>
  <c r="J62" i="53"/>
  <c r="D65" i="53"/>
  <c r="J65" i="53" s="1"/>
  <c r="J66" i="53"/>
  <c r="D69" i="53"/>
  <c r="J69" i="53" s="1"/>
  <c r="J70" i="53"/>
  <c r="X39" i="51"/>
  <c r="W39" i="51"/>
  <c r="U39" i="51"/>
  <c r="T39" i="51"/>
  <c r="X38" i="51"/>
  <c r="W38" i="51"/>
  <c r="U38" i="51"/>
  <c r="T38" i="51"/>
  <c r="X37" i="51"/>
  <c r="W37" i="51"/>
  <c r="U37" i="51"/>
  <c r="T37" i="51"/>
  <c r="X36" i="51"/>
  <c r="W36" i="51"/>
  <c r="U36" i="51"/>
  <c r="T36" i="51"/>
  <c r="X35" i="51"/>
  <c r="W35" i="51"/>
  <c r="U35" i="51"/>
  <c r="T35" i="51"/>
  <c r="X34" i="51"/>
  <c r="W34" i="51"/>
  <c r="U34" i="51"/>
  <c r="T34" i="51"/>
  <c r="X33" i="51"/>
  <c r="W33" i="51"/>
  <c r="U33" i="51"/>
  <c r="T33" i="51"/>
  <c r="X32" i="51"/>
  <c r="W32" i="51"/>
  <c r="U32" i="51"/>
  <c r="T32" i="51"/>
  <c r="X27" i="51"/>
  <c r="W27" i="51"/>
  <c r="U27" i="51"/>
  <c r="T27" i="51"/>
  <c r="X26" i="51"/>
  <c r="W26" i="51"/>
  <c r="U26" i="51"/>
  <c r="T26" i="51"/>
  <c r="X25" i="51"/>
  <c r="W25" i="51"/>
  <c r="U25" i="51"/>
  <c r="T25" i="51"/>
  <c r="X24" i="51"/>
  <c r="W24" i="51"/>
  <c r="U24" i="51"/>
  <c r="T24" i="51"/>
  <c r="X23" i="51"/>
  <c r="W23" i="51"/>
  <c r="U23" i="51"/>
  <c r="T23" i="51"/>
  <c r="X22" i="51"/>
  <c r="W22" i="51"/>
  <c r="U22" i="51"/>
  <c r="T22" i="51"/>
  <c r="X21" i="51"/>
  <c r="W21" i="51"/>
  <c r="U21" i="51"/>
  <c r="T21" i="51"/>
  <c r="X20" i="51"/>
  <c r="W20" i="51"/>
  <c r="U20" i="51"/>
  <c r="T20" i="51"/>
  <c r="X8" i="51"/>
  <c r="W8" i="51"/>
  <c r="U9" i="51"/>
  <c r="U10" i="51"/>
  <c r="U8" i="51"/>
  <c r="T8" i="51"/>
  <c r="P39" i="51"/>
  <c r="P38" i="51"/>
  <c r="P37" i="51"/>
  <c r="P36" i="51"/>
  <c r="P35" i="51"/>
  <c r="P34" i="51"/>
  <c r="P33" i="51"/>
  <c r="P32" i="51"/>
  <c r="P27" i="51"/>
  <c r="P26" i="51"/>
  <c r="P25" i="51"/>
  <c r="P24" i="51"/>
  <c r="P23" i="51"/>
  <c r="P22" i="51"/>
  <c r="P21" i="51"/>
  <c r="P20" i="51"/>
  <c r="P15" i="51"/>
  <c r="P14" i="51"/>
  <c r="P13" i="51"/>
  <c r="P12" i="51"/>
  <c r="P11" i="51"/>
  <c r="P10" i="51"/>
  <c r="P9" i="51"/>
  <c r="P8" i="51"/>
  <c r="K39" i="51"/>
  <c r="J39" i="51"/>
  <c r="O39" i="51" s="1"/>
  <c r="H39" i="51"/>
  <c r="G39" i="51"/>
  <c r="N39" i="51" s="1"/>
  <c r="K38" i="51"/>
  <c r="J38" i="51"/>
  <c r="H38" i="51"/>
  <c r="G38" i="51"/>
  <c r="K37" i="51"/>
  <c r="J37" i="51"/>
  <c r="H37" i="51"/>
  <c r="G37" i="51"/>
  <c r="N37" i="51" s="1"/>
  <c r="K36" i="51"/>
  <c r="J36" i="51"/>
  <c r="O36" i="51" s="1"/>
  <c r="H36" i="51"/>
  <c r="G36" i="51"/>
  <c r="N36" i="51" s="1"/>
  <c r="K35" i="51"/>
  <c r="J35" i="51"/>
  <c r="H35" i="51"/>
  <c r="G35" i="51"/>
  <c r="K34" i="51"/>
  <c r="J34" i="51"/>
  <c r="O34" i="51" s="1"/>
  <c r="H34" i="51"/>
  <c r="G34" i="51"/>
  <c r="N34" i="51" s="1"/>
  <c r="K33" i="51"/>
  <c r="J33" i="51"/>
  <c r="H33" i="51"/>
  <c r="G33" i="51"/>
  <c r="N33" i="51" s="1"/>
  <c r="D33" i="51"/>
  <c r="D34" i="51" s="1"/>
  <c r="D35" i="51" s="1"/>
  <c r="D36" i="51" s="1"/>
  <c r="D37" i="51" s="1"/>
  <c r="D38" i="51" s="1"/>
  <c r="D39" i="51" s="1"/>
  <c r="B33" i="51"/>
  <c r="B34" i="51" s="1"/>
  <c r="K32" i="51"/>
  <c r="J32" i="51"/>
  <c r="H32" i="51"/>
  <c r="G32" i="51"/>
  <c r="O27" i="51"/>
  <c r="N27" i="51"/>
  <c r="O26" i="51"/>
  <c r="N26" i="51"/>
  <c r="O25" i="51"/>
  <c r="N25" i="51"/>
  <c r="O24" i="51"/>
  <c r="N24" i="51"/>
  <c r="O23" i="51"/>
  <c r="N23" i="51"/>
  <c r="O22" i="51"/>
  <c r="N22" i="51"/>
  <c r="O21" i="51"/>
  <c r="N21" i="51"/>
  <c r="D21" i="51"/>
  <c r="D22" i="51" s="1"/>
  <c r="D23" i="51" s="1"/>
  <c r="D24" i="51" s="1"/>
  <c r="D25" i="51" s="1"/>
  <c r="D26" i="51" s="1"/>
  <c r="D27" i="51" s="1"/>
  <c r="B21" i="51"/>
  <c r="B22" i="51" s="1"/>
  <c r="B23" i="51" s="1"/>
  <c r="O20" i="51"/>
  <c r="N20" i="51"/>
  <c r="O15" i="51"/>
  <c r="N15" i="51"/>
  <c r="O14" i="51"/>
  <c r="N14" i="51"/>
  <c r="O13" i="51"/>
  <c r="N13" i="51"/>
  <c r="O12" i="51"/>
  <c r="N12" i="51"/>
  <c r="O11" i="51"/>
  <c r="N11" i="51"/>
  <c r="O10" i="51"/>
  <c r="N10" i="51"/>
  <c r="O9" i="51"/>
  <c r="N9" i="51"/>
  <c r="D9" i="51"/>
  <c r="D10" i="51" s="1"/>
  <c r="D11" i="51" s="1"/>
  <c r="D12" i="51" s="1"/>
  <c r="D13" i="51" s="1"/>
  <c r="D14" i="51" s="1"/>
  <c r="D15" i="51" s="1"/>
  <c r="B9" i="51"/>
  <c r="B10" i="51" s="1"/>
  <c r="X10" i="51" s="1"/>
  <c r="O8" i="51"/>
  <c r="N8" i="51"/>
  <c r="L25" i="19"/>
  <c r="L27" i="19"/>
  <c r="L29" i="19"/>
  <c r="L31" i="19"/>
  <c r="L33" i="19"/>
  <c r="L35" i="19"/>
  <c r="L37" i="19"/>
  <c r="L23" i="19"/>
  <c r="O54" i="58" l="1"/>
  <c r="P54" i="58"/>
  <c r="C42" i="58"/>
  <c r="C43" i="58" s="1"/>
  <c r="P41" i="58"/>
  <c r="O41" i="58"/>
  <c r="AJ54" i="58"/>
  <c r="AJ59" i="58"/>
  <c r="AJ57" i="58"/>
  <c r="L26" i="58"/>
  <c r="M26" i="58"/>
  <c r="O26" i="58"/>
  <c r="P26" i="58"/>
  <c r="AJ56" i="58"/>
  <c r="AJ60" i="58"/>
  <c r="AJ53" i="58"/>
  <c r="AJ58" i="58"/>
  <c r="G25" i="56"/>
  <c r="G26" i="56" s="1"/>
  <c r="AB26" i="56" s="1"/>
  <c r="Z24" i="56"/>
  <c r="AB48" i="60"/>
  <c r="AD47" i="60"/>
  <c r="AD48" i="60"/>
  <c r="AB35" i="60"/>
  <c r="AC27" i="60"/>
  <c r="AC39" i="60"/>
  <c r="AC40" i="60"/>
  <c r="AB47" i="60"/>
  <c r="AD36" i="60"/>
  <c r="AB31" i="60"/>
  <c r="AD51" i="60"/>
  <c r="AA24" i="56"/>
  <c r="AB24" i="56"/>
  <c r="AB40" i="56"/>
  <c r="AB36" i="56"/>
  <c r="Z40" i="56"/>
  <c r="AB28" i="56"/>
  <c r="AA40" i="56"/>
  <c r="AD27" i="60"/>
  <c r="AD39" i="60"/>
  <c r="AB39" i="60"/>
  <c r="AB51" i="60"/>
  <c r="AC47" i="60"/>
  <c r="AD31" i="60"/>
  <c r="AD43" i="60"/>
  <c r="AC43" i="60"/>
  <c r="AB52" i="60"/>
  <c r="AD32" i="60"/>
  <c r="AD44" i="60"/>
  <c r="AB44" i="60"/>
  <c r="AB43" i="60"/>
  <c r="AC51" i="60"/>
  <c r="AD35" i="60"/>
  <c r="AD28" i="60"/>
  <c r="AD40" i="60"/>
  <c r="AD52" i="60"/>
  <c r="AB32" i="56"/>
  <c r="Z28" i="56"/>
  <c r="Z36" i="56"/>
  <c r="AA28" i="56"/>
  <c r="AA36" i="56"/>
  <c r="Z32" i="56"/>
  <c r="AA32" i="56"/>
  <c r="AI57" i="58"/>
  <c r="Z29" i="56"/>
  <c r="Z33" i="56"/>
  <c r="Z37" i="56"/>
  <c r="Z41" i="56"/>
  <c r="AA29" i="56"/>
  <c r="AA33" i="56"/>
  <c r="AA37" i="56"/>
  <c r="AA41" i="56"/>
  <c r="AB29" i="56"/>
  <c r="AB33" i="56"/>
  <c r="AB37" i="56"/>
  <c r="AB41" i="56"/>
  <c r="Z30" i="56"/>
  <c r="Z34" i="56"/>
  <c r="Z38" i="56"/>
  <c r="Z42" i="56"/>
  <c r="AA30" i="56"/>
  <c r="AA34" i="56"/>
  <c r="AA38" i="56"/>
  <c r="AA42" i="56"/>
  <c r="V38" i="61"/>
  <c r="V42" i="61"/>
  <c r="V41" i="61"/>
  <c r="V37" i="61"/>
  <c r="H49" i="60"/>
  <c r="H53" i="60"/>
  <c r="H41" i="60"/>
  <c r="H45" i="60"/>
  <c r="H28" i="60"/>
  <c r="H36" i="60"/>
  <c r="H32" i="60"/>
  <c r="AI59" i="58"/>
  <c r="AI54" i="58"/>
  <c r="AI56" i="58"/>
  <c r="AI58" i="58"/>
  <c r="AI60" i="58"/>
  <c r="AI53" i="58"/>
  <c r="AI55" i="58"/>
  <c r="C55" i="58"/>
  <c r="C27" i="58"/>
  <c r="W10" i="51"/>
  <c r="W9" i="51"/>
  <c r="O35" i="51"/>
  <c r="O38" i="51"/>
  <c r="X9" i="51"/>
  <c r="T10" i="51"/>
  <c r="T9" i="51"/>
  <c r="O32" i="51"/>
  <c r="N38" i="51"/>
  <c r="N35" i="51"/>
  <c r="N32" i="51"/>
  <c r="O33" i="51"/>
  <c r="O37" i="51"/>
  <c r="B35" i="51"/>
  <c r="B11" i="51"/>
  <c r="B24" i="51"/>
  <c r="P42" i="58" l="1"/>
  <c r="O42" i="58"/>
  <c r="O55" i="58"/>
  <c r="P55" i="58"/>
  <c r="O43" i="58"/>
  <c r="P43" i="58"/>
  <c r="AA26" i="56"/>
  <c r="P27" i="58"/>
  <c r="L27" i="58"/>
  <c r="O27" i="58"/>
  <c r="M27" i="58"/>
  <c r="AA25" i="56"/>
  <c r="Z26" i="56"/>
  <c r="Z25" i="56"/>
  <c r="AB25" i="56"/>
  <c r="AC45" i="60"/>
  <c r="AB45" i="60"/>
  <c r="AC36" i="60"/>
  <c r="AB36" i="60"/>
  <c r="AB28" i="60"/>
  <c r="AC28" i="60"/>
  <c r="AB41" i="60"/>
  <c r="AC41" i="60"/>
  <c r="AC49" i="60"/>
  <c r="AB49" i="60"/>
  <c r="AC32" i="60"/>
  <c r="AB32" i="60"/>
  <c r="AB53" i="60"/>
  <c r="AC53" i="60"/>
  <c r="V34" i="61"/>
  <c r="V43" i="61"/>
  <c r="V30" i="61"/>
  <c r="V26" i="61"/>
  <c r="V39" i="61"/>
  <c r="H37" i="60"/>
  <c r="H29" i="60"/>
  <c r="H33" i="60"/>
  <c r="C44" i="58"/>
  <c r="C56" i="58"/>
  <c r="C28" i="58"/>
  <c r="X11" i="51"/>
  <c r="W11" i="51"/>
  <c r="U11" i="51"/>
  <c r="T11" i="51"/>
  <c r="B12" i="51"/>
  <c r="B36" i="51"/>
  <c r="B25" i="51"/>
  <c r="P56" i="58" l="1"/>
  <c r="O56" i="58"/>
  <c r="P44" i="58"/>
  <c r="O44" i="58"/>
  <c r="O28" i="58"/>
  <c r="L28" i="58"/>
  <c r="M28" i="58"/>
  <c r="P28" i="58"/>
  <c r="AC37" i="60"/>
  <c r="AB37" i="60"/>
  <c r="AB33" i="60"/>
  <c r="AC33" i="60"/>
  <c r="AB29" i="60"/>
  <c r="AC29" i="60"/>
  <c r="V27" i="61"/>
  <c r="V35" i="61"/>
  <c r="V31" i="61"/>
  <c r="C45" i="58"/>
  <c r="C29" i="58"/>
  <c r="C57" i="58"/>
  <c r="X12" i="51"/>
  <c r="W12" i="51"/>
  <c r="T12" i="51"/>
  <c r="U12" i="51"/>
  <c r="B37" i="51"/>
  <c r="B26" i="51"/>
  <c r="B13" i="51"/>
  <c r="P57" i="58" l="1"/>
  <c r="O57" i="58"/>
  <c r="P45" i="58"/>
  <c r="O45" i="58"/>
  <c r="M29" i="58"/>
  <c r="O29" i="58"/>
  <c r="P29" i="58"/>
  <c r="L29" i="58"/>
  <c r="C46" i="58"/>
  <c r="C30" i="58"/>
  <c r="C58" i="58"/>
  <c r="W13" i="51"/>
  <c r="X13" i="51"/>
  <c r="T13" i="51"/>
  <c r="U13" i="51"/>
  <c r="B27" i="51"/>
  <c r="B14" i="51"/>
  <c r="B38" i="51"/>
  <c r="P58" i="58" l="1"/>
  <c r="O58" i="58"/>
  <c r="P46" i="58"/>
  <c r="O46" i="58"/>
  <c r="L30" i="58"/>
  <c r="M30" i="58"/>
  <c r="P30" i="58"/>
  <c r="O30" i="58"/>
  <c r="C47" i="58"/>
  <c r="C59" i="58"/>
  <c r="C31" i="58"/>
  <c r="X14" i="51"/>
  <c r="W14" i="51"/>
  <c r="T14" i="51"/>
  <c r="U14" i="51"/>
  <c r="B39" i="51"/>
  <c r="B15" i="51"/>
  <c r="P59" i="58" l="1"/>
  <c r="O59" i="58"/>
  <c r="P47" i="58"/>
  <c r="O47" i="58"/>
  <c r="O31" i="58"/>
  <c r="L31" i="58"/>
  <c r="M31" i="58"/>
  <c r="P31" i="58"/>
  <c r="C32" i="58"/>
  <c r="C60" i="58"/>
  <c r="X15" i="51"/>
  <c r="W15" i="51"/>
  <c r="T15" i="51"/>
  <c r="U15" i="51"/>
  <c r="O60" i="58" l="1"/>
  <c r="P60" i="58"/>
  <c r="L32" i="58"/>
  <c r="M32" i="58"/>
  <c r="O32" i="58"/>
  <c r="P32" i="58"/>
  <c r="O16" i="7"/>
  <c r="O51" i="7"/>
  <c r="O50" i="7"/>
  <c r="O49" i="7"/>
  <c r="O48" i="7"/>
  <c r="O47" i="7"/>
  <c r="O46" i="7"/>
  <c r="O45" i="7"/>
  <c r="O44" i="7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M21" i="11" l="1"/>
  <c r="M18" i="11"/>
  <c r="M19" i="11"/>
  <c r="M20" i="11"/>
  <c r="AA18" i="6" l="1"/>
  <c r="AA19" i="6"/>
  <c r="AA20" i="6"/>
  <c r="AA21" i="6"/>
  <c r="AA22" i="6"/>
  <c r="AA23" i="6"/>
  <c r="AA24" i="6"/>
  <c r="AA25" i="6"/>
  <c r="AA26" i="6"/>
  <c r="AA27" i="6"/>
  <c r="AA28" i="6"/>
  <c r="AA29" i="6"/>
  <c r="AA30" i="6"/>
  <c r="AA31" i="6"/>
  <c r="AA32" i="6"/>
  <c r="AA33" i="6"/>
  <c r="AA34" i="6"/>
  <c r="AA35" i="6"/>
  <c r="AA36" i="6"/>
  <c r="AA37" i="6"/>
  <c r="AA38" i="6"/>
  <c r="AA39" i="6"/>
  <c r="AA40" i="6"/>
  <c r="AA41" i="6"/>
  <c r="AA42" i="6"/>
  <c r="AA43" i="6"/>
  <c r="AA44" i="6"/>
  <c r="AA45" i="6"/>
  <c r="AA46" i="6"/>
  <c r="AA47" i="6"/>
  <c r="AA48" i="6"/>
  <c r="AA49" i="6"/>
  <c r="AA50" i="6"/>
  <c r="AA51" i="6"/>
  <c r="AA52" i="6"/>
  <c r="AA17" i="6"/>
  <c r="R29" i="33"/>
  <c r="R30" i="33"/>
  <c r="R31" i="33"/>
  <c r="R32" i="33"/>
  <c r="R33" i="33"/>
  <c r="R28" i="33"/>
  <c r="R17" i="33"/>
  <c r="R18" i="33"/>
  <c r="R19" i="33"/>
  <c r="R20" i="33"/>
  <c r="R16" i="33"/>
  <c r="O20" i="29"/>
  <c r="O21" i="29"/>
  <c r="O23" i="29"/>
  <c r="O25" i="29"/>
  <c r="O26" i="29"/>
  <c r="O27" i="29"/>
  <c r="O28" i="29"/>
  <c r="O29" i="29"/>
  <c r="O30" i="29"/>
  <c r="O31" i="29"/>
  <c r="O32" i="29"/>
  <c r="O33" i="29"/>
  <c r="O35" i="29"/>
  <c r="O36" i="29"/>
  <c r="O37" i="29"/>
  <c r="O38" i="29"/>
  <c r="O39" i="29"/>
  <c r="O40" i="29"/>
  <c r="O41" i="29"/>
  <c r="O42" i="29"/>
  <c r="O43" i="29"/>
  <c r="O44" i="29"/>
  <c r="O45" i="29"/>
  <c r="O48" i="29"/>
  <c r="O49" i="29"/>
  <c r="O50" i="29"/>
  <c r="O51" i="29"/>
  <c r="O52" i="29"/>
  <c r="O53" i="29"/>
  <c r="O54" i="29"/>
  <c r="O55" i="29"/>
  <c r="O56" i="29"/>
  <c r="O57" i="29"/>
  <c r="O58" i="29"/>
  <c r="O59" i="29"/>
  <c r="O60" i="29"/>
  <c r="O61" i="29"/>
  <c r="O62" i="29"/>
  <c r="O63" i="29"/>
  <c r="O64" i="29"/>
  <c r="O65" i="29"/>
  <c r="O66" i="29"/>
  <c r="O67" i="29"/>
  <c r="O68" i="29"/>
  <c r="O69" i="29"/>
  <c r="O70" i="29"/>
  <c r="O73" i="29"/>
  <c r="O74" i="29"/>
  <c r="O75" i="29"/>
  <c r="O76" i="29"/>
  <c r="O77" i="29"/>
  <c r="O78" i="29"/>
  <c r="O79" i="29"/>
  <c r="O80" i="29"/>
  <c r="O81" i="29"/>
  <c r="O82" i="29"/>
  <c r="O85" i="29"/>
  <c r="O86" i="29"/>
  <c r="O87" i="29"/>
  <c r="O88" i="29"/>
  <c r="O89" i="29"/>
  <c r="O90" i="29"/>
  <c r="O91" i="29"/>
  <c r="O92" i="29"/>
  <c r="O93" i="29"/>
  <c r="O94" i="29"/>
  <c r="O95" i="29"/>
  <c r="O96" i="29"/>
  <c r="O97" i="29"/>
  <c r="O98" i="29"/>
  <c r="O99" i="29"/>
  <c r="O100" i="29"/>
  <c r="O19" i="29"/>
  <c r="O84" i="29"/>
  <c r="O83" i="29"/>
  <c r="O72" i="29"/>
  <c r="O71" i="29"/>
  <c r="O47" i="29"/>
  <c r="O46" i="29"/>
  <c r="O34" i="29"/>
  <c r="O24" i="29"/>
  <c r="O22" i="29"/>
  <c r="O18" i="29"/>
  <c r="O17" i="29"/>
  <c r="M25" i="11" l="1"/>
  <c r="M24" i="11"/>
  <c r="M23" i="11"/>
  <c r="M22" i="11"/>
  <c r="M15" i="11"/>
  <c r="M14" i="11"/>
  <c r="M17" i="11"/>
  <c r="M16" i="11"/>
  <c r="Q61" i="75"/>
  <c r="Q55" i="75"/>
  <c r="Q56" i="75"/>
  <c r="Q57" i="75"/>
  <c r="Q59" i="75"/>
  <c r="Q58" i="75"/>
  <c r="Q60" i="7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tc={C89FBC62-8387-4D04-BFCC-492F49DFB489}</author>
    <author>tc={9FB1F3BC-5815-4736-9BE4-0CB87933CFF2}</author>
    <author>tc={5B325670-79AA-45BE-803F-79EA8B113E90}</author>
    <author>tc={C604B7DD-9E3F-4BB0-B58A-5C4215566F04}</author>
    <author>tc={DF9FFD9A-5018-4747-ADCD-6FFFF506BFD3}</author>
    <author>tc={FE1EFA9A-7E18-4EDB-AD1B-9A816D524BDF}</author>
  </authors>
  <commentList>
    <comment ref="E13" authorId="0" shapeId="0" xr:uid="{C89FBC62-8387-4D04-BFCC-492F49DFB489}">
      <text>
        <t>[Threaded comment]
Your version of Excel allows you to read this threaded comment; however, any edits to it will get removed if the file is opened in a newer version of Excel. Learn more: https://go.microsoft.com/fwlink/?linkid=870924
Comment:
    CL. Z: ranges should begin with .001” (whole-thou) size and end with .0005” (half-thou) size
CL. X: ranges should begin with .001” (whole-thou) size and end with .0009”</t>
      </text>
    </comment>
    <comment ref="C19" authorId="1" shapeId="0" xr:uid="{9FB1F3BC-5815-4736-9BE4-0CB87933CFF2}">
      <text>
        <t>[Threaded comment]
Your version of Excel allows you to read this threaded comment; however, any edits to it will get removed if the file is opened in a newer version of Excel. Learn more: https://go.microsoft.com/fwlink/?linkid=870924
Comment:
    Blades are used down to .030”</t>
      </text>
    </comment>
    <comment ref="C20" authorId="2" shapeId="0" xr:uid="{5B325670-79AA-45BE-803F-79EA8B113E90}">
      <text>
        <t>[Threaded comment]
Your version of Excel allows you to read this threaded comment; however, any edits to it will get removed if the file is opened in a newer version of Excel. Learn more: https://go.microsoft.com/fwlink/?linkid=870924
Comment:
    Sizes &lt;=.075” are fed by hand, one at a time</t>
      </text>
    </comment>
    <comment ref="F27" authorId="3" shapeId="0" xr:uid="{C604B7DD-9E3F-4BB0-B58A-5C4215566F04}">
      <text>
        <t>[Threaded comment]
Your version of Excel allows you to read this threaded comment; however, any edits to it will get removed if the file is opened in a newer version of Excel. Learn more: https://go.microsoft.com/fwlink/?linkid=870924
Comment:
    M81MM goes up to 25.41</t>
      </text>
    </comment>
    <comment ref="F44" authorId="4" shapeId="0" xr:uid="{DF9FFD9A-5018-4747-ADCD-6FFFF506BFD3}">
      <text>
        <t>[Threaded comment]
Your version of Excel allows you to read this threaded comment; however, any edits to it will get removed if the file is opened in a newer version of Excel. Learn more: https://go.microsoft.com/fwlink/?linkid=870924
Comment:
    M81MM goes up to 25.41</t>
      </text>
    </comment>
    <comment ref="F61" authorId="5" shapeId="0" xr:uid="{FE1EFA9A-7E18-4EDB-AD1B-9A816D524BDF}">
      <text>
        <t>[Threaded comment]
Your version of Excel allows you to read this threaded comment; however, any edits to it will get removed if the file is opened in a newer version of Excel. Learn more: https://go.microsoft.com/fwlink/?linkid=870924
Comment:
    M81MM goes up to 25.41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tc={1461B266-1872-4EB8-A80F-1892E87A4FEF}</author>
  </authors>
  <commentList>
    <comment ref="O14" authorId="0" shapeId="0" xr:uid="{1461B266-1872-4EB8-A80F-1892E87A4FEF}">
      <text>
        <t>[Threaded comment]
Your version of Excel allows you to read this threaded comment; however, any edits to it will get removed if the file is opened in a newer version of Excel. Learn more: https://go.microsoft.com/fwlink/?linkid=870924
Comment:
    Revise McMaster’s discount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tc={EEF15A24-8EC0-47D5-A8EE-B612460DF046}</author>
    <author>tc={6C460996-CABF-4B89-89E0-C812C0E46E3F}</author>
    <author>tc={3695168B-1B5C-4684-B3D0-6185E45ED082}</author>
  </authors>
  <commentList>
    <comment ref="F18" authorId="0" shapeId="0" xr:uid="{EEF15A24-8EC0-47D5-A8EE-B612460DF046}">
      <text>
        <t>[Threaded comment]
Your version of Excel allows you to read this threaded comment; however, any edits to it will get removed if the file is opened in a newer version of Excel. Learn more: https://go.microsoft.com/fwlink/?linkid=870924
Comment:
    CL. Z: ranges should begin with .001” (whole-thou) size and end with .0005” (half-thou) size
CL. X: ranges should begin with .001” (whole-thou) size and end with .0009”</t>
      </text>
    </comment>
    <comment ref="AC24" authorId="1" shapeId="0" xr:uid="{6C460996-CABF-4B89-89E0-C812C0E46E3F}">
      <text>
        <t>[Threaded comment]
Your version of Excel allows you to read this threaded comment; however, any edits to it will get removed if the file is opened in a newer version of Excel. Learn more: https://go.microsoft.com/fwlink/?linkid=870924
Comment:
    Effective for McMaster 3/17 (35% discount)</t>
      </text>
    </comment>
    <comment ref="J32" authorId="2" shapeId="0" xr:uid="{3695168B-1B5C-4684-B3D0-6185E45ED082}">
      <text>
        <t>[Threaded comment]
Your version of Excel allows you to read this threaded comment; however, any edits to it will get removed if the file is opened in a newer version of Excel. Learn more: https://go.microsoft.com/fwlink/?linkid=870924
Comment:
    M81MM goes up to 25.41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tc={08F0C6AD-F2A5-4D52-B380-CD77345350E6}</author>
  </authors>
  <commentList>
    <comment ref="F13" authorId="0" shapeId="0" xr:uid="{08F0C6AD-F2A5-4D52-B380-CD77345350E6}">
      <text>
        <t>[Threaded comment]
Your version of Excel allows you to read this threaded comment; however, any edits to it will get removed if the file is opened in a newer version of Excel. Learn more: https://go.microsoft.com/fwlink/?linkid=870924
Comment:
    CL. Z: ranges should begin with .001” (whole-thou) size and end with .0005” (half-thou) size
CL. X: ranges should begin with .001” (whole-thou) size and end with .0009”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tc={46B0886D-82E3-4EB4-8530-66B44534ECCB}</author>
  </authors>
  <commentList>
    <comment ref="F13" authorId="0" shapeId="0" xr:uid="{46B0886D-82E3-4EB4-8530-66B44534ECCB}">
      <text>
        <t>[Threaded comment]
Your version of Excel allows you to read this threaded comment; however, any edits to it will get removed if the file is opened in a newer version of Excel. Learn more: https://go.microsoft.com/fwlink/?linkid=870924
Comment:
    CL. Z: ranges should begin with .001” (whole-thou) size and end with .0005” (half-thou) size
CL. X: ranges should begin with .001” (whole-thou) size and end with .0009”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tc={95DB542E-978C-4E09-89E0-76AE692356DB}</author>
    <author>tc={33FC1465-0517-4ABA-8CB2-691FCABFF9F8}</author>
    <author>tc={C7CAD648-ADDF-4603-9292-06F13F8220C0}</author>
    <author>tc={455DC78F-AB12-4C00-8A08-3709AF4A36AF}</author>
    <author>tc={4BF3A917-1429-443D-B8B9-A76C7BA6E076}</author>
  </authors>
  <commentList>
    <comment ref="Y13" authorId="0" shapeId="0" xr:uid="{95DB542E-978C-4E09-89E0-76AE692356DB}">
      <text>
        <t>[Threaded comment]
Your version of Excel allows you to read this threaded comment; however, any edits to it will get removed if the file is opened in a newer version of Excel. Learn more: https://go.microsoft.com/fwlink/?linkid=870924
Comment:
    VG distributor discount</t>
      </text>
    </comment>
    <comment ref="Y14" authorId="1" shapeId="0" xr:uid="{33FC1465-0517-4ABA-8CB2-691FCABFF9F8}">
      <text>
        <t>[Threaded comment]
Your version of Excel allows you to read this threaded comment; however, any edits to it will get removed if the file is opened in a newer version of Excel. Learn more: https://go.microsoft.com/fwlink/?linkid=870924
Comment:
    MG distributor discount</t>
      </text>
    </comment>
    <comment ref="Y15" authorId="2" shapeId="0" xr:uid="{C7CAD648-ADDF-4603-9292-06F13F8220C0}">
      <text>
        <t>[Threaded comment]
Your version of Excel allows you to read this threaded comment; however, any edits to it will get removed if the file is opened in a newer version of Excel. Learn more: https://go.microsoft.com/fwlink/?linkid=870924
Comment:
    Chrome premium to steel (to differentiate pricing structure from VG)</t>
      </text>
    </comment>
    <comment ref="T20" authorId="3" shapeId="0" xr:uid="{455DC78F-AB12-4C00-8A08-3709AF4A36AF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Vermont Prices .0600” to .0700”
</t>
      </text>
    </comment>
    <comment ref="V48" authorId="4" shapeId="0" xr:uid="{4BF3A917-1429-443D-B8B9-A76C7BA6E076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of two Vermont size ranges:
1) 1.1351” - 1.3350”
2) 1.3351” to 1.5100”</t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tc={569677E0-81D7-4B54-B93B-2E09BF0A05D3}</author>
  </authors>
  <commentList>
    <comment ref="J9" authorId="0" shapeId="0" xr:uid="{569677E0-81D7-4B54-B93B-2E09BF0A05D3}">
      <text>
        <t>[Threaded comment]
Your version of Excel allows you to read this threaded comment; however, any edits to it will get removed if the file is opened in a newer version of Excel. Learn more: https://go.microsoft.com/fwlink/?linkid=870924
Comment:
    Discount to DE price</t>
      </text>
    </comment>
  </commentList>
</comments>
</file>

<file path=xl/sharedStrings.xml><?xml version="1.0" encoding="utf-8"?>
<sst xmlns="http://schemas.openxmlformats.org/spreadsheetml/2006/main" count="3177" uniqueCount="1140">
  <si>
    <t>Calibration Services</t>
  </si>
  <si>
    <t>inch = 4 decimal places</t>
  </si>
  <si>
    <t>mm = 2 decimal places</t>
  </si>
  <si>
    <t>Size Range</t>
  </si>
  <si>
    <t>Inch</t>
  </si>
  <si>
    <t>Metric</t>
  </si>
  <si>
    <t>inch</t>
  </si>
  <si>
    <t>metric</t>
  </si>
  <si>
    <t>Class Z Pin Gage Sets</t>
  </si>
  <si>
    <t>Item ID</t>
  </si>
  <si>
    <t>Tolerance Direction</t>
  </si>
  <si>
    <t>No. of Gages</t>
  </si>
  <si>
    <t>Weight (lbs.)</t>
  </si>
  <si>
    <t>M0P</t>
  </si>
  <si>
    <t>Plus</t>
  </si>
  <si>
    <t>M0MMP</t>
  </si>
  <si>
    <t>M0M</t>
  </si>
  <si>
    <t>Minus</t>
  </si>
  <si>
    <t>M0MMM</t>
  </si>
  <si>
    <t>M05P</t>
  </si>
  <si>
    <t>M01MMP</t>
  </si>
  <si>
    <t>M05M</t>
  </si>
  <si>
    <t>M01MMM</t>
  </si>
  <si>
    <t>C10P</t>
  </si>
  <si>
    <t>M1MMP</t>
  </si>
  <si>
    <t>C10M</t>
  </si>
  <si>
    <t>M1MMM</t>
  </si>
  <si>
    <t>C105P</t>
  </si>
  <si>
    <t>M11MMP</t>
  </si>
  <si>
    <t>C105M</t>
  </si>
  <si>
    <t>M11MMM</t>
  </si>
  <si>
    <t>M1P</t>
  </si>
  <si>
    <t>M2MMP</t>
  </si>
  <si>
    <t>M1M</t>
  </si>
  <si>
    <t>M2MMM</t>
  </si>
  <si>
    <t>M15P</t>
  </si>
  <si>
    <t>M21MMP</t>
  </si>
  <si>
    <t>M15M</t>
  </si>
  <si>
    <t>M21MMM</t>
  </si>
  <si>
    <t>M2P</t>
  </si>
  <si>
    <t>M3MMP</t>
  </si>
  <si>
    <t>M2M</t>
  </si>
  <si>
    <t>M3MMM</t>
  </si>
  <si>
    <t>M25P</t>
  </si>
  <si>
    <t>M31MMP</t>
  </si>
  <si>
    <t>M25M</t>
  </si>
  <si>
    <t>M31MMM</t>
  </si>
  <si>
    <t>M3P</t>
  </si>
  <si>
    <t>M4MMP</t>
  </si>
  <si>
    <t>M3M</t>
  </si>
  <si>
    <t>M4MMM</t>
  </si>
  <si>
    <t>M35P</t>
  </si>
  <si>
    <t>M41MMP</t>
  </si>
  <si>
    <t>M35M</t>
  </si>
  <si>
    <t>M41MMM</t>
  </si>
  <si>
    <t>M4P</t>
  </si>
  <si>
    <t>M5MMP</t>
  </si>
  <si>
    <t>M4M</t>
  </si>
  <si>
    <t>M5MMM</t>
  </si>
  <si>
    <t>M45P</t>
  </si>
  <si>
    <t>M51MMP</t>
  </si>
  <si>
    <t>M45M</t>
  </si>
  <si>
    <t>M51MMM</t>
  </si>
  <si>
    <t>M5P</t>
  </si>
  <si>
    <t>M6MMP</t>
  </si>
  <si>
    <t>M5M</t>
  </si>
  <si>
    <t>M6MMM</t>
  </si>
  <si>
    <t>M55P</t>
  </si>
  <si>
    <t>M61MMP</t>
  </si>
  <si>
    <t>M55M</t>
  </si>
  <si>
    <t>M61MMM</t>
  </si>
  <si>
    <t>M6P</t>
  </si>
  <si>
    <t>M7MMP</t>
  </si>
  <si>
    <t>M6M</t>
  </si>
  <si>
    <t>M7MMM</t>
  </si>
  <si>
    <t>M65P</t>
  </si>
  <si>
    <t>M71MMP</t>
  </si>
  <si>
    <t>M65M</t>
  </si>
  <si>
    <t>M71MMM</t>
  </si>
  <si>
    <t>M7P</t>
  </si>
  <si>
    <t>M8MMP</t>
  </si>
  <si>
    <t>M7M</t>
  </si>
  <si>
    <t>M8MMM</t>
  </si>
  <si>
    <t>M75P</t>
  </si>
  <si>
    <t>M81MMP</t>
  </si>
  <si>
    <t>M75M</t>
  </si>
  <si>
    <t>M81MMM</t>
  </si>
  <si>
    <t>Class X Pin Gage Sets</t>
  </si>
  <si>
    <t>M0XP</t>
  </si>
  <si>
    <t>M0XM</t>
  </si>
  <si>
    <t>M05XP</t>
  </si>
  <si>
    <t>M05XM</t>
  </si>
  <si>
    <t>M1XP</t>
  </si>
  <si>
    <t>M1XM</t>
  </si>
  <si>
    <t>M15XP</t>
  </si>
  <si>
    <t>M15XM</t>
  </si>
  <si>
    <t>C10XP</t>
  </si>
  <si>
    <t>C10XM</t>
  </si>
  <si>
    <t>C105XP</t>
  </si>
  <si>
    <t>C105XM</t>
  </si>
  <si>
    <t>M2XP</t>
  </si>
  <si>
    <t>M2XM</t>
  </si>
  <si>
    <t>M25XP</t>
  </si>
  <si>
    <t>M25XM</t>
  </si>
  <si>
    <t>M3XP</t>
  </si>
  <si>
    <t>M3XM</t>
  </si>
  <si>
    <t>M35XP</t>
  </si>
  <si>
    <t>M35XM</t>
  </si>
  <si>
    <t>M4XP</t>
  </si>
  <si>
    <t>M4XM</t>
  </si>
  <si>
    <t>M45XP</t>
  </si>
  <si>
    <t>M45XM</t>
  </si>
  <si>
    <t>M5XP</t>
  </si>
  <si>
    <t>M5XM</t>
  </si>
  <si>
    <t>M55XP</t>
  </si>
  <si>
    <t>M55XM</t>
  </si>
  <si>
    <t>M6XP</t>
  </si>
  <si>
    <t>M6XM</t>
  </si>
  <si>
    <t>M65XP</t>
  </si>
  <si>
    <t>M65XM</t>
  </si>
  <si>
    <t>M7XP</t>
  </si>
  <si>
    <t>M7XM</t>
  </si>
  <si>
    <t>M75XP</t>
  </si>
  <si>
    <t>M75XM</t>
  </si>
  <si>
    <t>Nominal Size Range</t>
  </si>
  <si>
    <t>Medium tray used for .375"+ nominal</t>
  </si>
  <si>
    <t>nominal of .750" is ok</t>
  </si>
  <si>
    <t>pins will touch/lid won't go on for pins in the .900's</t>
  </si>
  <si>
    <t>for larger pins, practice is to send tray along with pins in vials</t>
  </si>
  <si>
    <t>Class Z Libraries</t>
  </si>
  <si>
    <t>Half-Thou libs -&gt; 10%+ more than Even-Thou libs (Inch)</t>
  </si>
  <si>
    <t>Odd-MM libs -&gt; 10%+ more than Even-MM libs</t>
  </si>
  <si>
    <t>L1P</t>
  </si>
  <si>
    <t>L10MMP</t>
  </si>
  <si>
    <t>L1M</t>
  </si>
  <si>
    <t>L10MMM</t>
  </si>
  <si>
    <t>L15P</t>
  </si>
  <si>
    <t>L11MMP</t>
  </si>
  <si>
    <t>L15M</t>
  </si>
  <si>
    <t>L11MMM</t>
  </si>
  <si>
    <t>L2P</t>
  </si>
  <si>
    <t>L20MMP</t>
  </si>
  <si>
    <t>L2M</t>
  </si>
  <si>
    <t>L20MMM</t>
  </si>
  <si>
    <t>L2CP</t>
  </si>
  <si>
    <t>L21MMP</t>
  </si>
  <si>
    <t>L2CM</t>
  </si>
  <si>
    <t>L21MMM</t>
  </si>
  <si>
    <t>L3P</t>
  </si>
  <si>
    <t>L30MMP</t>
  </si>
  <si>
    <t>L3M</t>
  </si>
  <si>
    <t>L30MMM</t>
  </si>
  <si>
    <t>L35P</t>
  </si>
  <si>
    <t>L31MMP</t>
  </si>
  <si>
    <t>L35M</t>
  </si>
  <si>
    <t>L31MMM</t>
  </si>
  <si>
    <t>L4P</t>
  </si>
  <si>
    <t>L4M</t>
  </si>
  <si>
    <t>L45P</t>
  </si>
  <si>
    <t>L45M</t>
  </si>
  <si>
    <t>L5P</t>
  </si>
  <si>
    <t>L5M</t>
  </si>
  <si>
    <t>L55P</t>
  </si>
  <si>
    <t>L55M</t>
  </si>
  <si>
    <t>LCP</t>
  </si>
  <si>
    <t>LCM</t>
  </si>
  <si>
    <t>LC5P</t>
  </si>
  <si>
    <t>LC5M</t>
  </si>
  <si>
    <t>LSP</t>
  </si>
  <si>
    <t>LSM</t>
  </si>
  <si>
    <t>LS5P</t>
  </si>
  <si>
    <t>LS5M</t>
  </si>
  <si>
    <t>L1XP</t>
  </si>
  <si>
    <t>L1XM</t>
  </si>
  <si>
    <t>LCXP</t>
  </si>
  <si>
    <t>LCXM</t>
  </si>
  <si>
    <t>L2XP</t>
  </si>
  <si>
    <t>L2XM</t>
  </si>
  <si>
    <t>L2CXP</t>
  </si>
  <si>
    <t>L2CXM</t>
  </si>
  <si>
    <t>L3XP</t>
  </si>
  <si>
    <t>L3XM</t>
  </si>
  <si>
    <t>L4XP</t>
  </si>
  <si>
    <t>L4XM</t>
  </si>
  <si>
    <t>Class X Libraries</t>
  </si>
  <si>
    <t>Single-End</t>
  </si>
  <si>
    <t>Description</t>
  </si>
  <si>
    <t>1WSE</t>
  </si>
  <si>
    <t>GO</t>
  </si>
  <si>
    <t>2WSE</t>
  </si>
  <si>
    <t>3WSE</t>
  </si>
  <si>
    <t>4WSE</t>
  </si>
  <si>
    <t>5WSE</t>
  </si>
  <si>
    <t>6WSE</t>
  </si>
  <si>
    <t>7WSE</t>
  </si>
  <si>
    <t>8WSE</t>
  </si>
  <si>
    <t>Z</t>
  </si>
  <si>
    <t>X</t>
  </si>
  <si>
    <t>XX</t>
  </si>
  <si>
    <t>Double-End</t>
  </si>
  <si>
    <t>1WDE</t>
  </si>
  <si>
    <t>2WDE</t>
  </si>
  <si>
    <t>3WDE</t>
  </si>
  <si>
    <t>4WDE</t>
  </si>
  <si>
    <t>5WDE</t>
  </si>
  <si>
    <t>6WDE</t>
  </si>
  <si>
    <t>7WDE</t>
  </si>
  <si>
    <t>8WDE</t>
  </si>
  <si>
    <t>Trilock</t>
  </si>
  <si>
    <t>Y</t>
  </si>
  <si>
    <t>Taperlock</t>
  </si>
  <si>
    <t>Custom-Length Pin Gages</t>
  </si>
  <si>
    <t>Class ZZ</t>
  </si>
  <si>
    <t>Class X</t>
  </si>
  <si>
    <t>Ring Gages</t>
  </si>
  <si>
    <t>NOGO</t>
  </si>
  <si>
    <t>5/16"</t>
  </si>
  <si>
    <t>Trilocks</t>
  </si>
  <si>
    <t>Master Setting Discs</t>
  </si>
  <si>
    <t>Length</t>
  </si>
  <si>
    <t>Bilateral Tolerance</t>
  </si>
  <si>
    <t>Unilateral Tolerance</t>
  </si>
  <si>
    <t>Bushings</t>
  </si>
  <si>
    <t>Revised 1/3/2024</t>
  </si>
  <si>
    <t>Material</t>
  </si>
  <si>
    <t>Brass</t>
  </si>
  <si>
    <t>Aluminum</t>
  </si>
  <si>
    <t>Size ranges are inclusive</t>
  </si>
  <si>
    <t>Bushing  No.</t>
  </si>
  <si>
    <t>B010</t>
  </si>
  <si>
    <t>1W-0.010</t>
  </si>
  <si>
    <t>B015</t>
  </si>
  <si>
    <t>1W-0.015</t>
  </si>
  <si>
    <t>B020</t>
  </si>
  <si>
    <t>1W-0.020</t>
  </si>
  <si>
    <t>B025</t>
  </si>
  <si>
    <t>1W-0.025</t>
  </si>
  <si>
    <t>B030</t>
  </si>
  <si>
    <t>1W-0.030</t>
  </si>
  <si>
    <t>B035</t>
  </si>
  <si>
    <t>1W-0.035</t>
  </si>
  <si>
    <t>B040</t>
  </si>
  <si>
    <t>1W-0.040</t>
  </si>
  <si>
    <t>B045</t>
  </si>
  <si>
    <t>1W-0.045</t>
  </si>
  <si>
    <t>B050</t>
  </si>
  <si>
    <t>1W-0.050</t>
  </si>
  <si>
    <t>B055</t>
  </si>
  <si>
    <t>1W-0.055</t>
  </si>
  <si>
    <t>B060</t>
  </si>
  <si>
    <t>1W-0.060</t>
  </si>
  <si>
    <t>B065</t>
  </si>
  <si>
    <t>1W-0.065</t>
  </si>
  <si>
    <t>B070</t>
  </si>
  <si>
    <t>1W-0.070</t>
  </si>
  <si>
    <t>B075</t>
  </si>
  <si>
    <t>1W-0.075</t>
  </si>
  <si>
    <t>B082</t>
  </si>
  <si>
    <t>2W-0.082</t>
  </si>
  <si>
    <t>B089</t>
  </si>
  <si>
    <t>2W-0.089</t>
  </si>
  <si>
    <t>B096</t>
  </si>
  <si>
    <t>2W-0.096</t>
  </si>
  <si>
    <t>B103</t>
  </si>
  <si>
    <t>2W-0.103</t>
  </si>
  <si>
    <t>B110</t>
  </si>
  <si>
    <t>2W-0.110</t>
  </si>
  <si>
    <t>B117</t>
  </si>
  <si>
    <t>2W-0.117</t>
  </si>
  <si>
    <t>B124</t>
  </si>
  <si>
    <t>2W-0.124</t>
  </si>
  <si>
    <t>B131</t>
  </si>
  <si>
    <t>2W-0.131</t>
  </si>
  <si>
    <t>B138</t>
  </si>
  <si>
    <t>2W-0.138</t>
  </si>
  <si>
    <t>B145</t>
  </si>
  <si>
    <t>2W-0.145</t>
  </si>
  <si>
    <t>B152</t>
  </si>
  <si>
    <t>2W-0.152</t>
  </si>
  <si>
    <t>B159</t>
  </si>
  <si>
    <t>2W-0.159</t>
  </si>
  <si>
    <t>B166</t>
  </si>
  <si>
    <t>2W-0.166</t>
  </si>
  <si>
    <t>B173</t>
  </si>
  <si>
    <t>2W-0.173</t>
  </si>
  <si>
    <t>B180</t>
  </si>
  <si>
    <t>2W-0.180</t>
  </si>
  <si>
    <t>B188</t>
  </si>
  <si>
    <t>3W-0.188</t>
  </si>
  <si>
    <t>B196</t>
  </si>
  <si>
    <t>3W-0.196</t>
  </si>
  <si>
    <t>B204</t>
  </si>
  <si>
    <t>3W-0.204</t>
  </si>
  <si>
    <t>B212</t>
  </si>
  <si>
    <t>3W-0.212</t>
  </si>
  <si>
    <t>B220</t>
  </si>
  <si>
    <t>3W-0.220</t>
  </si>
  <si>
    <t>B228</t>
  </si>
  <si>
    <t>3W-0.228</t>
  </si>
  <si>
    <t>B236</t>
  </si>
  <si>
    <t>3W-0.236</t>
  </si>
  <si>
    <t>B244</t>
  </si>
  <si>
    <t>3W-0.244</t>
  </si>
  <si>
    <t>B252</t>
  </si>
  <si>
    <t>3W-0.252</t>
  </si>
  <si>
    <t>B261</t>
  </si>
  <si>
    <t>3W-0.261</t>
  </si>
  <si>
    <t>B271</t>
  </si>
  <si>
    <t>3W-0.271</t>
  </si>
  <si>
    <t>B281</t>
  </si>
  <si>
    <t>3W-0.281</t>
  </si>
  <si>
    <t>B291</t>
  </si>
  <si>
    <t>4W-0.291</t>
  </si>
  <si>
    <t>B301</t>
  </si>
  <si>
    <t>4W-0.301</t>
  </si>
  <si>
    <t>B311</t>
  </si>
  <si>
    <t>4W-0.311</t>
  </si>
  <si>
    <t>B321</t>
  </si>
  <si>
    <t>4W-0.321</t>
  </si>
  <si>
    <t>B331</t>
  </si>
  <si>
    <t>4W-0.331</t>
  </si>
  <si>
    <t>B341</t>
  </si>
  <si>
    <t>4W-0.341</t>
  </si>
  <si>
    <t>B351</t>
  </si>
  <si>
    <t>4W-0.351</t>
  </si>
  <si>
    <t>B361</t>
  </si>
  <si>
    <t>4W-0.361</t>
  </si>
  <si>
    <t>B371</t>
  </si>
  <si>
    <t>4W-0.371</t>
  </si>
  <si>
    <t>B382</t>
  </si>
  <si>
    <t>4W-0.382</t>
  </si>
  <si>
    <t>B394</t>
  </si>
  <si>
    <t>4W-0.394</t>
  </si>
  <si>
    <t>B406</t>
  </si>
  <si>
    <t>4W-0.406</t>
  </si>
  <si>
    <t>B420</t>
  </si>
  <si>
    <t>5W-0.420</t>
  </si>
  <si>
    <t>B435</t>
  </si>
  <si>
    <t>5W-0.435</t>
  </si>
  <si>
    <t>B450</t>
  </si>
  <si>
    <t>5W-0.450</t>
  </si>
  <si>
    <t>B465</t>
  </si>
  <si>
    <t>5W-0.465</t>
  </si>
  <si>
    <t>B480</t>
  </si>
  <si>
    <t>5W-0.480</t>
  </si>
  <si>
    <t>B495</t>
  </si>
  <si>
    <t>5W-0.495</t>
  </si>
  <si>
    <t>B510</t>
  </si>
  <si>
    <t>5W-0.510</t>
  </si>
  <si>
    <t>B532</t>
  </si>
  <si>
    <t>6W-0.532</t>
  </si>
  <si>
    <t>B547</t>
  </si>
  <si>
    <t>6W-0.547</t>
  </si>
  <si>
    <t>B563</t>
  </si>
  <si>
    <t>6W-0.563</t>
  </si>
  <si>
    <t>B579</t>
  </si>
  <si>
    <t>6W-0.579</t>
  </si>
  <si>
    <t>B594</t>
  </si>
  <si>
    <t>6W-0.594</t>
  </si>
  <si>
    <t>B610</t>
  </si>
  <si>
    <t>6W-0.610</t>
  </si>
  <si>
    <t>B625</t>
  </si>
  <si>
    <t>6W-0.625</t>
  </si>
  <si>
    <t>B635</t>
  </si>
  <si>
    <t>6W-0.635</t>
  </si>
  <si>
    <t>B656</t>
  </si>
  <si>
    <t>7W-0.656</t>
  </si>
  <si>
    <t>B672</t>
  </si>
  <si>
    <t>7W-0.672</t>
  </si>
  <si>
    <t>B688</t>
  </si>
  <si>
    <t>7W-0.688</t>
  </si>
  <si>
    <t>B704</t>
  </si>
  <si>
    <t>7W-0.704</t>
  </si>
  <si>
    <t>B719</t>
  </si>
  <si>
    <t>7W-0.719</t>
  </si>
  <si>
    <t>B735</t>
  </si>
  <si>
    <t>7W-0.735</t>
  </si>
  <si>
    <t>B750</t>
  </si>
  <si>
    <t>7W-0.750</t>
  </si>
  <si>
    <t>B760</t>
  </si>
  <si>
    <t>7W-0.760</t>
  </si>
  <si>
    <t>B781</t>
  </si>
  <si>
    <t>8W-0.781</t>
  </si>
  <si>
    <t>B812</t>
  </si>
  <si>
    <t>8W-0.812</t>
  </si>
  <si>
    <t>B843</t>
  </si>
  <si>
    <t>8W-0.843</t>
  </si>
  <si>
    <t>B875</t>
  </si>
  <si>
    <t>8W-0.875</t>
  </si>
  <si>
    <t>B906</t>
  </si>
  <si>
    <t>8W-0.906</t>
  </si>
  <si>
    <t>B937</t>
  </si>
  <si>
    <t>8W-0.937</t>
  </si>
  <si>
    <t>B968</t>
  </si>
  <si>
    <t>8W-0.968</t>
  </si>
  <si>
    <t>B1000</t>
  </si>
  <si>
    <t>8W-1.010</t>
  </si>
  <si>
    <t>Note: All tabulated size ranges are inclusive.</t>
  </si>
  <si>
    <t>Pin Gage Handles</t>
  </si>
  <si>
    <t>Handle No.</t>
  </si>
  <si>
    <t>*No bushings required</t>
  </si>
  <si>
    <t>1PGHDE</t>
  </si>
  <si>
    <t>2PGHDE</t>
  </si>
  <si>
    <t>3PGHDE</t>
  </si>
  <si>
    <t>4PGHDE</t>
  </si>
  <si>
    <t>5PGHDE</t>
  </si>
  <si>
    <t>6PGHDE</t>
  </si>
  <si>
    <t>7PGHDE</t>
  </si>
  <si>
    <t>8PGHDE</t>
  </si>
  <si>
    <t>7-Handle Bundle</t>
  </si>
  <si>
    <t>Accessories</t>
  </si>
  <si>
    <t>IN0</t>
  </si>
  <si>
    <t>IN05</t>
  </si>
  <si>
    <t>IN1</t>
  </si>
  <si>
    <t>IN15</t>
  </si>
  <si>
    <t>IN2</t>
  </si>
  <si>
    <t>IN25</t>
  </si>
  <si>
    <t>IN3</t>
  </si>
  <si>
    <t>IN35</t>
  </si>
  <si>
    <t>MG-25 Series Cases</t>
  </si>
  <si>
    <t>IN4</t>
  </si>
  <si>
    <t>IN45</t>
  </si>
  <si>
    <t>IN5</t>
  </si>
  <si>
    <t>IN55</t>
  </si>
  <si>
    <t>IN6</t>
  </si>
  <si>
    <t>IN65</t>
  </si>
  <si>
    <t>IN7</t>
  </si>
  <si>
    <t>IN75</t>
  </si>
  <si>
    <t>LE4</t>
  </si>
  <si>
    <t>4-Drawer Metal Cabinet</t>
  </si>
  <si>
    <t>IN0MM</t>
  </si>
  <si>
    <t>IN01MM</t>
  </si>
  <si>
    <t>IN1MM</t>
  </si>
  <si>
    <t>IN11MM</t>
  </si>
  <si>
    <t>IN2MM</t>
  </si>
  <si>
    <t>IN21MM</t>
  </si>
  <si>
    <t>IN3MM</t>
  </si>
  <si>
    <t>IN31MM</t>
  </si>
  <si>
    <t>IN4MM</t>
  </si>
  <si>
    <t>IN41MM</t>
  </si>
  <si>
    <t>IN5MM</t>
  </si>
  <si>
    <t>IN51MM</t>
  </si>
  <si>
    <t>IN6MM</t>
  </si>
  <si>
    <t>IN61MM</t>
  </si>
  <si>
    <t>IN7MM</t>
  </si>
  <si>
    <t>IN71MM</t>
  </si>
  <si>
    <t>IN8MM</t>
  </si>
  <si>
    <t>IN81MM</t>
  </si>
  <si>
    <t>Bushings for Reversible Handles</t>
  </si>
  <si>
    <t>Taperlock Handles</t>
  </si>
  <si>
    <t>HDL-TP-1</t>
  </si>
  <si>
    <t>HDL-TP-2</t>
  </si>
  <si>
    <t>HDL-TP-3</t>
  </si>
  <si>
    <t>HDL-TP-4</t>
  </si>
  <si>
    <t>HDL-TP-5</t>
  </si>
  <si>
    <t>HDL-TR-2.5-SE</t>
  </si>
  <si>
    <t>HDL-TR-3.5-SE</t>
  </si>
  <si>
    <t>HDL-TR-4.5-SE</t>
  </si>
  <si>
    <t>HDL-TR-5.5-SE</t>
  </si>
  <si>
    <t>HDL-TR-6-SE</t>
  </si>
  <si>
    <t>HDL-TR-7-SE</t>
  </si>
  <si>
    <t>HDL-TR-2.5-DE</t>
  </si>
  <si>
    <t>HDL-TR-3.5-DE</t>
  </si>
  <si>
    <t>HDL-TR-4.5-DE</t>
  </si>
  <si>
    <t>HDL-TR-5.5-DE</t>
  </si>
  <si>
    <t>HDL-TR-6-DE</t>
  </si>
  <si>
    <t>HDL-TR-7-DE</t>
  </si>
  <si>
    <t>Trilock Handles</t>
  </si>
  <si>
    <t>2-1/2</t>
  </si>
  <si>
    <t>3-1/2</t>
  </si>
  <si>
    <t>4-1/2</t>
  </si>
  <si>
    <t>5-1/2</t>
  </si>
  <si>
    <t xml:space="preserve"> - </t>
  </si>
  <si>
    <t>CASE-SM</t>
  </si>
  <si>
    <t>CASE-LG</t>
  </si>
  <si>
    <t>CASE-MG-SM</t>
  </si>
  <si>
    <t>CASE-MG-MD</t>
  </si>
  <si>
    <t>LIN4</t>
  </si>
  <si>
    <t>1W</t>
  </si>
  <si>
    <t>2W</t>
  </si>
  <si>
    <t>3W</t>
  </si>
  <si>
    <t>4W</t>
  </si>
  <si>
    <t>5W</t>
  </si>
  <si>
    <t>6W</t>
  </si>
  <si>
    <t>7W</t>
  </si>
  <si>
    <t>8W</t>
  </si>
  <si>
    <t>Steel</t>
  </si>
  <si>
    <t>Chrome</t>
  </si>
  <si>
    <t>Carbide</t>
  </si>
  <si>
    <t>Reversible Gage Handles</t>
  </si>
  <si>
    <t>Bushings sold separately</t>
  </si>
  <si>
    <t>Custom 25-Member Pin Gage Sets</t>
  </si>
  <si>
    <t>Available in steel only</t>
  </si>
  <si>
    <t>Single-end handles come with a green (Go) cap, unless otherwise specified</t>
  </si>
  <si>
    <t>00</t>
  </si>
  <si>
    <t>ISO 17025 Accredited Calibration Services</t>
  </si>
  <si>
    <t>Thread Wires (3-pc. set)</t>
  </si>
  <si>
    <t>*Specify by inserts by item ID or size range</t>
  </si>
  <si>
    <t>Poly Case Inserts - Inch Sets</t>
  </si>
  <si>
    <t>Poly Case Inserts - Metric Sets</t>
  </si>
  <si>
    <t>M0</t>
  </si>
  <si>
    <t>M05</t>
  </si>
  <si>
    <t>M1/C10</t>
  </si>
  <si>
    <t>M15/C105</t>
  </si>
  <si>
    <t>M2</t>
  </si>
  <si>
    <t>M25</t>
  </si>
  <si>
    <t>M3</t>
  </si>
  <si>
    <t>M35</t>
  </si>
  <si>
    <t>M4</t>
  </si>
  <si>
    <t>M45</t>
  </si>
  <si>
    <t>M5</t>
  </si>
  <si>
    <t>M55</t>
  </si>
  <si>
    <t>M6</t>
  </si>
  <si>
    <t>M65</t>
  </si>
  <si>
    <t>M7</t>
  </si>
  <si>
    <t>M75</t>
  </si>
  <si>
    <t>M0MM</t>
  </si>
  <si>
    <t>M01MM</t>
  </si>
  <si>
    <t>M1MM</t>
  </si>
  <si>
    <t>M11MM</t>
  </si>
  <si>
    <t>M2MM</t>
  </si>
  <si>
    <t>M21MM</t>
  </si>
  <si>
    <t>M3MM</t>
  </si>
  <si>
    <t>M31MM</t>
  </si>
  <si>
    <t>M4MM</t>
  </si>
  <si>
    <t>M41MM</t>
  </si>
  <si>
    <t>M5MM</t>
  </si>
  <si>
    <t>M51MM</t>
  </si>
  <si>
    <t>M6MM</t>
  </si>
  <si>
    <t>M61MM</t>
  </si>
  <si>
    <t>M7MM</t>
  </si>
  <si>
    <t>M71MM</t>
  </si>
  <si>
    <t>M8MM</t>
  </si>
  <si>
    <t>M81MM</t>
  </si>
  <si>
    <t>Thickness (C)</t>
  </si>
  <si>
    <t>Meyer Gage Company</t>
  </si>
  <si>
    <t>Price List</t>
  </si>
  <si>
    <t>(860) 528-6526</t>
  </si>
  <si>
    <t>sales@meyergage.com</t>
  </si>
  <si>
    <t>PRICES SUBJECT TO CHANGE WITHOUT NOTICE</t>
  </si>
  <si>
    <t>CALIBRATION THREAD WIRE SET USED (3)</t>
  </si>
  <si>
    <t>Class Z</t>
  </si>
  <si>
    <t>CALIBRATION MASTER SET DISC USED</t>
  </si>
  <si>
    <t>CALIBRATION MASTER SET DISC NEW</t>
  </si>
  <si>
    <t>CALIBRATION PROGRESSIVE USED</t>
  </si>
  <si>
    <t>CALIBRATION PROGRESSIVE</t>
  </si>
  <si>
    <t>CALIBRATION TRILOCK USED</t>
  </si>
  <si>
    <t>CALIBRATION TRILOCK NEW</t>
  </si>
  <si>
    <t>CALIBRATION TAPERLOCK USED</t>
  </si>
  <si>
    <t>CALIBRATION TAPERLOCK NEW</t>
  </si>
  <si>
    <t>Plain Ring Gage</t>
  </si>
  <si>
    <t>CALIBRATION RING USED</t>
  </si>
  <si>
    <t>CALIBRATION RING NEW</t>
  </si>
  <si>
    <t>CALIBRATION X SPECIAL LENGTH USED</t>
  </si>
  <si>
    <t>CALIBRATION X SPECIAL LENGTH NEW</t>
  </si>
  <si>
    <t>CALIBRATION ZZ SPECIAL LENGTH USED</t>
  </si>
  <si>
    <t>CALIBRATION ZZ SPECIAL LENGTH NEW</t>
  </si>
  <si>
    <t>Class XX</t>
  </si>
  <si>
    <t>CALIBRATION CLASS XX PIN USED</t>
  </si>
  <si>
    <t>CALIBRATION CLASS XX PIN NEW</t>
  </si>
  <si>
    <t>Customer</t>
  </si>
  <si>
    <t>CALIBRATION CLASS X PIN USED</t>
  </si>
  <si>
    <t>CALIBRATION CLASS X PIN NEW</t>
  </si>
  <si>
    <t>New</t>
  </si>
  <si>
    <t>CALIBRATION CLASS Z PIN USED</t>
  </si>
  <si>
    <t>CALIBRATION CLASS Z PIN NEW</t>
  </si>
  <si>
    <t>CALIBRATION CLASS ZZ PIN USED</t>
  </si>
  <si>
    <t>CALIBRATION CLASS ZZ PIN NEW</t>
  </si>
  <si>
    <t>Plain Pin Gages</t>
  </si>
  <si>
    <t>Customer Property</t>
  </si>
  <si>
    <t>New Product</t>
  </si>
  <si>
    <t>Z calibration performed on laser</t>
  </si>
  <si>
    <t>Increment:</t>
  </si>
  <si>
    <t>Price</t>
  </si>
  <si>
    <t>Individual Pin Gages</t>
  </si>
  <si>
    <t>INCH</t>
  </si>
  <si>
    <t>METRIC</t>
  </si>
  <si>
    <t>*.0005" increments</t>
  </si>
  <si>
    <t>ASSY</t>
  </si>
  <si>
    <t>Class</t>
  </si>
  <si>
    <t>MM</t>
  </si>
  <si>
    <t>Min.</t>
  </si>
  <si>
    <t>Max.</t>
  </si>
  <si>
    <t>NG</t>
  </si>
  <si>
    <t>Go/NoGo Assemblies, Single-End</t>
  </si>
  <si>
    <t>mm</t>
  </si>
  <si>
    <t>O.D. (B)</t>
  </si>
  <si>
    <t>Blank No.</t>
  </si>
  <si>
    <t>19.1mm</t>
  </si>
  <si>
    <t>41.3mm</t>
  </si>
  <si>
    <t>3/4"</t>
  </si>
  <si>
    <t>1-5/8"</t>
  </si>
  <si>
    <t>15.9mm</t>
  </si>
  <si>
    <t>38.1mm</t>
  </si>
  <si>
    <t>5/8"</t>
  </si>
  <si>
    <t>1-1/2"</t>
  </si>
  <si>
    <t>12.7mm</t>
  </si>
  <si>
    <t>31.8mm</t>
  </si>
  <si>
    <t>1/2"</t>
  </si>
  <si>
    <t>1-1/4"</t>
  </si>
  <si>
    <t>9.5mm</t>
  </si>
  <si>
    <t>25.4mm</t>
  </si>
  <si>
    <t>3/8"</t>
  </si>
  <si>
    <t>1"</t>
  </si>
  <si>
    <t>7.9mm</t>
  </si>
  <si>
    <t>NoGo</t>
  </si>
  <si>
    <t>Go</t>
  </si>
  <si>
    <t>Member Length</t>
  </si>
  <si>
    <t>Member Price</t>
  </si>
  <si>
    <t>Assembly Price</t>
  </si>
  <si>
    <t>Go/NoGo</t>
  </si>
  <si>
    <t>Go/NoGo Assemblies</t>
  </si>
  <si>
    <t>Assy mark-up</t>
  </si>
  <si>
    <t>Universal Pin Gage Handles*</t>
  </si>
  <si>
    <t>SE</t>
  </si>
  <si>
    <t>DE</t>
  </si>
  <si>
    <t>HDL No.</t>
  </si>
  <si>
    <t>Member</t>
  </si>
  <si>
    <t>Assembly</t>
  </si>
  <si>
    <t>Grip No.</t>
  </si>
  <si>
    <t>Insulating Grips</t>
  </si>
  <si>
    <t>STYLE 1</t>
  </si>
  <si>
    <t>STYLE 2*</t>
  </si>
  <si>
    <t>STYLE 3</t>
  </si>
  <si>
    <t>DE handle with 2 green or 2 red caps -&gt; 25% charge (list)</t>
  </si>
  <si>
    <t>Half-thousandths</t>
  </si>
  <si>
    <t>"tenths"</t>
  </si>
  <si>
    <t>Standard Reversible Plug Gages</t>
  </si>
  <si>
    <t>List based on scope?</t>
  </si>
  <si>
    <t>Taperlocks</t>
  </si>
  <si>
    <t>Progressives</t>
  </si>
  <si>
    <r>
      <rPr>
        <i/>
        <sz val="11"/>
        <color rgb="FF0000E1"/>
        <rFont val="Calibri"/>
        <family val="2"/>
        <scheme val="minor"/>
      </rPr>
      <t>Revised</t>
    </r>
    <r>
      <rPr>
        <sz val="11"/>
        <color rgb="FF0000E1"/>
        <rFont val="Calibri"/>
        <family val="2"/>
        <scheme val="minor"/>
      </rPr>
      <t xml:space="preserve"> 2/28/2024</t>
    </r>
  </si>
  <si>
    <t>Current</t>
  </si>
  <si>
    <t>Revised</t>
  </si>
  <si>
    <t>inch = 4 dec. places</t>
  </si>
  <si>
    <t>mm = 2 dec. places</t>
  </si>
  <si>
    <t>Δ</t>
  </si>
  <si>
    <t>Pricing comp: Vermont ZZ sets</t>
  </si>
  <si>
    <t>.0005" sets &gt;&gt; 10%+ more than .001" sets</t>
  </si>
  <si>
    <t>Library</t>
  </si>
  <si>
    <t>Odd mm sets &gt;&gt; 10%+ more than even mm sets</t>
  </si>
  <si>
    <t>Go (Plus) or NoGo (Minus)</t>
  </si>
  <si>
    <t>Class ZZ Custom-Length Pin Gages</t>
  </si>
  <si>
    <t>Class X Custom-Length Pin Gages</t>
  </si>
  <si>
    <t>Small Poly Case (M0 Set)</t>
  </si>
  <si>
    <t>Large Poly Case (M1-M8 Sets)</t>
  </si>
  <si>
    <t>*Specify Go and NoGo sizes for Style #2</t>
  </si>
  <si>
    <t>Revise Mcmaster's Discount</t>
  </si>
  <si>
    <t>•</t>
  </si>
  <si>
    <t>mm = 3 dec. places</t>
  </si>
  <si>
    <t>Class Z (.0001" or .0025mm tolerance)</t>
  </si>
  <si>
    <t>.001" or .02mm increments</t>
  </si>
  <si>
    <t>Class X (.00004" or .001mm tolerance)</t>
  </si>
  <si>
    <t>Class X (.00004" tolerance)</t>
  </si>
  <si>
    <t>.001" increments</t>
  </si>
  <si>
    <t>.0001" or .01mm increments</t>
  </si>
  <si>
    <t>Class ZZ (.0002" or .005mm tolerance)</t>
  </si>
  <si>
    <t>Class XX, X, Y, or Z</t>
  </si>
  <si>
    <t>Steel, Chrome, or Carbide</t>
  </si>
  <si>
    <t>*Specify Go or NoGo blank</t>
  </si>
  <si>
    <t>Class XX, X, or Y</t>
  </si>
  <si>
    <t>Sold with insulating grips</t>
  </si>
  <si>
    <t>Go/NoGo assemblies quoted upon request</t>
  </si>
  <si>
    <t>Custom Plain Trilock Gages</t>
  </si>
  <si>
    <t>Custom Plain Taperlock Gages</t>
  </si>
  <si>
    <t>Custom Plain Progressive Gages</t>
  </si>
  <si>
    <t>Custom Master Setting Discs</t>
  </si>
  <si>
    <t>* .0005" increments</t>
  </si>
  <si>
    <t>Specify Go and NoGo sizes</t>
  </si>
  <si>
    <r>
      <rPr>
        <b/>
        <sz val="11"/>
        <rFont val="Calibri"/>
        <family val="2"/>
        <scheme val="minor"/>
      </rPr>
      <t>Note</t>
    </r>
    <r>
      <rPr>
        <sz val="11"/>
        <rFont val="Calibri"/>
        <family val="2"/>
        <scheme val="minor"/>
      </rPr>
      <t>: L3X and L4X consist of (2) 4-drawer metal cabinets.</t>
    </r>
  </si>
  <si>
    <r>
      <t xml:space="preserve">Custom marking available </t>
    </r>
    <r>
      <rPr>
        <sz val="11"/>
        <color rgb="FF0000E1"/>
        <rFont val="Calibri"/>
        <family val="2"/>
      </rPr>
      <t>–</t>
    </r>
    <r>
      <rPr>
        <sz val="11"/>
        <color rgb="FF0000E1"/>
        <rFont val="Calibri"/>
        <family val="2"/>
        <scheme val="minor"/>
      </rPr>
      <t xml:space="preserve"> $15 per handle flat</t>
    </r>
  </si>
  <si>
    <t>Set No.</t>
  </si>
  <si>
    <t>ZZ</t>
  </si>
  <si>
    <t>Add ASME standard references</t>
  </si>
  <si>
    <t>Revise plug gage tolerance &amp; selection section (10% rule)</t>
  </si>
  <si>
    <t>Custom Go/NoGo assemblies quoted upon request.</t>
  </si>
  <si>
    <t>Replace "microfinish" with "microinch"</t>
  </si>
  <si>
    <t>Remove all references to centerless lapping</t>
  </si>
  <si>
    <t>Go (Plus), NoGo (Minus), or Master (Bilateral) tolerance</t>
  </si>
  <si>
    <t>Go (Plus), NoGo (Minus), or Master* (Bilateral) tolerance</t>
  </si>
  <si>
    <t>Class X Sets</t>
  </si>
  <si>
    <t>Poly Cases &amp; Cabinets</t>
  </si>
  <si>
    <t>Gage handle dimensions/standards</t>
  </si>
  <si>
    <t>price = go TP gage + nogo TP gage</t>
  </si>
  <si>
    <t>Maximum Go/NoGo step is .025"</t>
  </si>
  <si>
    <t>Tabulated member lengths exclude the length of the shank</t>
  </si>
  <si>
    <t>Available in size increments of .0005” or 0.01mm.</t>
  </si>
  <si>
    <t>Class Z pins available in size increments of .0005” or 0.01mm.</t>
  </si>
  <si>
    <t>Taperlock-style (up to 1.510")</t>
  </si>
  <si>
    <r>
      <rPr>
        <b/>
        <sz val="14"/>
        <color theme="1"/>
        <rFont val="Calibri"/>
        <family val="2"/>
        <scheme val="minor"/>
      </rPr>
      <t>Phone</t>
    </r>
    <r>
      <rPr>
        <sz val="14"/>
        <color theme="1"/>
        <rFont val="Calibri"/>
        <family val="2"/>
        <scheme val="minor"/>
      </rPr>
      <t>:</t>
    </r>
  </si>
  <si>
    <r>
      <rPr>
        <b/>
        <sz val="14"/>
        <color theme="1"/>
        <rFont val="Calibri"/>
        <family val="2"/>
        <scheme val="minor"/>
      </rPr>
      <t>Email</t>
    </r>
    <r>
      <rPr>
        <sz val="14"/>
        <color theme="1"/>
        <rFont val="Calibri"/>
        <family val="2"/>
        <scheme val="minor"/>
      </rPr>
      <t>:</t>
    </r>
  </si>
  <si>
    <t>2" standard length</t>
  </si>
  <si>
    <t>Additional copies of calibration certificates (emailed or printed) are $10.00 each.</t>
  </si>
  <si>
    <t>ITEM ID</t>
  </si>
  <si>
    <t>Plain Ring Gages</t>
  </si>
  <si>
    <t>Plain Plug Gages</t>
  </si>
  <si>
    <t>Thread Wires</t>
  </si>
  <si>
    <t>Standard Sizes</t>
  </si>
  <si>
    <t>Handle</t>
  </si>
  <si>
    <t>Pricing Considerations</t>
  </si>
  <si>
    <t>Vermont Class X prices</t>
  </si>
  <si>
    <t>Zero Check Class Z prices, sizes offered</t>
  </si>
  <si>
    <t>Custom 2" pin prices (Vermont, GSG, Gage Assy, Zero Check)</t>
  </si>
  <si>
    <t>McMaster bought 74% of Z pins sold in 2024; 65% in 2023; 63% in 2022</t>
  </si>
  <si>
    <t>Judge Tool bought 10% of XX pins sold in 2024</t>
  </si>
  <si>
    <t>CATALOG</t>
  </si>
  <si>
    <t>Create items and set up assemblies in P21 (see item IDs file)</t>
  </si>
  <si>
    <t>Custom library configurations quoted upon request.</t>
  </si>
  <si>
    <t>GSG supplies sizes &lt; .060"</t>
  </si>
  <si>
    <t>VG does not offer carbide &gt; 1.510"</t>
  </si>
  <si>
    <t>GSG does not offer carbide &gt; 2.510"</t>
  </si>
  <si>
    <t>Go (Minus), NoGo (Plus), or Master (Bilateral) tolerance</t>
  </si>
  <si>
    <t>Discount</t>
  </si>
  <si>
    <t>Assy price multiple</t>
  </si>
  <si>
    <r>
      <t xml:space="preserve">Custom marking available </t>
    </r>
    <r>
      <rPr>
        <sz val="11"/>
        <color rgb="FF0000E1"/>
        <rFont val="Calibri"/>
        <family val="2"/>
      </rPr>
      <t>–</t>
    </r>
    <r>
      <rPr>
        <sz val="11"/>
        <color rgb="FF0000E1"/>
        <rFont val="Calibri"/>
        <family val="2"/>
        <scheme val="minor"/>
      </rPr>
      <t xml:space="preserve"> $25 per ring</t>
    </r>
  </si>
  <si>
    <t>Taperlock blanks: 01 steel, through-hardened</t>
  </si>
  <si>
    <t>Trilock blanks: case hardened to .060"</t>
  </si>
  <si>
    <t>Go and NoGo sections are separated by a 1/8" recess</t>
  </si>
  <si>
    <r>
      <rPr>
        <b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>: All tabulated size ranges are inclusive.</t>
    </r>
  </si>
  <si>
    <t>VG Cl. X (net)</t>
  </si>
  <si>
    <t>X Premium</t>
  </si>
  <si>
    <t>MG Premium</t>
  </si>
  <si>
    <t>Judge Tool bought 27% of XX pins sold in 2024; 18% in 2023</t>
  </si>
  <si>
    <t>BAP</t>
  </si>
  <si>
    <t>BAM</t>
  </si>
  <si>
    <t>BCP</t>
  </si>
  <si>
    <t>BCM</t>
  </si>
  <si>
    <t>BSP</t>
  </si>
  <si>
    <t>BSM</t>
  </si>
  <si>
    <t>Class ZZ Black Ox Libraries</t>
  </si>
  <si>
    <t>B4M</t>
  </si>
  <si>
    <t>B4P</t>
  </si>
  <si>
    <t>B3M</t>
  </si>
  <si>
    <t>B3P</t>
  </si>
  <si>
    <t>B2M</t>
  </si>
  <si>
    <t>B2P</t>
  </si>
  <si>
    <t>B1M</t>
  </si>
  <si>
    <t>B1P</t>
  </si>
  <si>
    <t>B10M</t>
  </si>
  <si>
    <t>B10P</t>
  </si>
  <si>
    <t>B0M</t>
  </si>
  <si>
    <t>B0P</t>
  </si>
  <si>
    <t>DONE</t>
  </si>
  <si>
    <t>cl. X inch = 4 dec. places</t>
  </si>
  <si>
    <t>Create items and assemblies in P21</t>
  </si>
  <si>
    <t>Additional nominal sizes available upon request.</t>
  </si>
  <si>
    <t>Handles marked with class, size, and tolerance direction</t>
  </si>
  <si>
    <t>Half-Thou sets -&gt;  +10% premium</t>
  </si>
  <si>
    <t>-</t>
  </si>
  <si>
    <t>Build P21 import files</t>
  </si>
  <si>
    <t>Create itemized price list</t>
  </si>
  <si>
    <t>Revise discount schedules (PDFs)</t>
  </si>
  <si>
    <t>Revise pin gage size ranges</t>
  </si>
  <si>
    <t>Revise plug gage ASSY item ids</t>
  </si>
  <si>
    <t>.</t>
  </si>
  <si>
    <t>MG-25 Sets</t>
  </si>
  <si>
    <t>Class X MG-25 Sets</t>
  </si>
  <si>
    <t>see McMaster price list</t>
  </si>
  <si>
    <t>Purchase Discount</t>
  </si>
  <si>
    <t>Sales Discount</t>
  </si>
  <si>
    <t>Meyer Gage Cost</t>
  </si>
  <si>
    <t>Meyer Gage List</t>
  </si>
  <si>
    <t>GSG List Price (Aug-2023)</t>
  </si>
  <si>
    <t>Chrome Premium</t>
  </si>
  <si>
    <r>
      <t xml:space="preserve">Bilateral (split) tolerance available upon request </t>
    </r>
    <r>
      <rPr>
        <sz val="11"/>
        <color theme="1"/>
        <rFont val="Calibri"/>
        <family val="2"/>
      </rPr>
      <t>– a</t>
    </r>
    <r>
      <rPr>
        <sz val="11"/>
        <color theme="1"/>
        <rFont val="Calibri"/>
        <family val="2"/>
        <scheme val="minor"/>
      </rPr>
      <t>dd 25%</t>
    </r>
  </si>
  <si>
    <t>Size ranges corrected Jan-21-2025</t>
  </si>
  <si>
    <t>*Size ranges corrected Jan-21-2025</t>
  </si>
  <si>
    <t>2023 Vermont CL. ZZ Custom-Length Pricing</t>
  </si>
  <si>
    <t>MG Pricing - Based on 2023 VG Pricing</t>
  </si>
  <si>
    <t>Meyer Gage Pricing - Sep-1-2023</t>
  </si>
  <si>
    <t>2023 Vermont CL. X Custom-Length Pricing</t>
  </si>
  <si>
    <t>Double-end handles come with a green (Go) and red (NoGo) end cap</t>
  </si>
  <si>
    <r>
      <rPr>
        <b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>: Applicable price range determined by size of larger-diameter pin.</t>
    </r>
  </si>
  <si>
    <t>Notes</t>
  </si>
  <si>
    <t>Custom Extra-Length Reversibles up to 12" Long</t>
  </si>
  <si>
    <t>Custom Extra-Length Reversibles up to 6" Long</t>
  </si>
  <si>
    <t>Meyer Gage Pricing - Feb-17-2025</t>
  </si>
  <si>
    <t>Margin Target, CHR</t>
  </si>
  <si>
    <t>Margin Target, CAR</t>
  </si>
  <si>
    <t>Margin Target, STL</t>
  </si>
  <si>
    <t>Revise Mcmaster and Distributor discount</t>
  </si>
  <si>
    <t>Pro Forma</t>
  </si>
  <si>
    <t>Sales Discount Groups</t>
  </si>
  <si>
    <t>discount_group_id</t>
  </si>
  <si>
    <t>discount_group_description</t>
  </si>
  <si>
    <t>delete_flag</t>
  </si>
  <si>
    <t>date_created</t>
  </si>
  <si>
    <t>date_last_modified</t>
  </si>
  <si>
    <t>last_maintained_by</t>
  </si>
  <si>
    <t>Class Z Sets</t>
  </si>
  <si>
    <t>N</t>
  </si>
  <si>
    <t>bbryer</t>
  </si>
  <si>
    <t>Class ZZ Black Ox Pin Gages</t>
  </si>
  <si>
    <t>Class ZZ Black Ox Sets</t>
  </si>
  <si>
    <t>BBryer</t>
  </si>
  <si>
    <t>Class ZZ Pin Gages</t>
  </si>
  <si>
    <t>Class Z Pin Gages</t>
  </si>
  <si>
    <t>Metric Class Z Sets</t>
  </si>
  <si>
    <t>Metric Class ZZ Pin Gages</t>
  </si>
  <si>
    <t>Metric Class Z Pin Gages</t>
  </si>
  <si>
    <t>Metric Class Z Libraries</t>
  </si>
  <si>
    <t>16-00</t>
  </si>
  <si>
    <t>Thread Measuring Wires</t>
  </si>
  <si>
    <t>jmeyer</t>
  </si>
  <si>
    <t>16-20H</t>
  </si>
  <si>
    <t>Thread Measuring Wires 60 Degree Set (3)</t>
  </si>
  <si>
    <t>17-00</t>
  </si>
  <si>
    <t>Gear Measuring Wires</t>
  </si>
  <si>
    <t>Class X Pin Gages</t>
  </si>
  <si>
    <t>Metric Class X Pin Gages</t>
  </si>
  <si>
    <t>19-00H</t>
  </si>
  <si>
    <t>Thread Metric Reversible Steel Plug</t>
  </si>
  <si>
    <t>19-00MR</t>
  </si>
  <si>
    <t>Thread Metric Ring Gage</t>
  </si>
  <si>
    <t>19-00MS</t>
  </si>
  <si>
    <t>Thread Metric Setting Plug</t>
  </si>
  <si>
    <t>19-00MT</t>
  </si>
  <si>
    <t>Thread Metric Taperlock Plug</t>
  </si>
  <si>
    <t>19-00R</t>
  </si>
  <si>
    <t>Thread Ring Gage</t>
  </si>
  <si>
    <t>19-00S</t>
  </si>
  <si>
    <t>Thread Truncated Setting Plugs</t>
  </si>
  <si>
    <t>19-00T</t>
  </si>
  <si>
    <t>Thread Taperlock Steel Plug Gage</t>
  </si>
  <si>
    <t>19-00THC</t>
  </si>
  <si>
    <t>Helical Coil Taperlock Steel Gages</t>
  </si>
  <si>
    <t>19-00TI</t>
  </si>
  <si>
    <t>Thread HSS Taperlock Plug Gage TiN Coat</t>
  </si>
  <si>
    <t>19-00TP</t>
  </si>
  <si>
    <t>Thread Taper Pipe gages NPT</t>
  </si>
  <si>
    <t>19-00TPF</t>
  </si>
  <si>
    <t>Thread Taper Pipe Gages NPTF</t>
  </si>
  <si>
    <t>19-00TRI</t>
  </si>
  <si>
    <t>Thread Trilock Reversible Steel Plug</t>
  </si>
  <si>
    <t>19-00W R</t>
  </si>
  <si>
    <t>Thread Reversible Steel Plug Gage</t>
  </si>
  <si>
    <t>Custom Class ZZ Pin Gages</t>
  </si>
  <si>
    <t>Custom Class X Pin Gages</t>
  </si>
  <si>
    <t>Class X MG-25 Series</t>
  </si>
  <si>
    <t>admin</t>
  </si>
  <si>
    <t>Black Ox ZZ Go/NoGo Assy</t>
  </si>
  <si>
    <t>Black Ox ZZ Single-End Assy</t>
  </si>
  <si>
    <t>Class Z Go/NoGo Assy</t>
  </si>
  <si>
    <t>Class Z Single-End Assy</t>
  </si>
  <si>
    <t>Class X Go/NoGo Assy</t>
  </si>
  <si>
    <t>Class X Single-End Assy</t>
  </si>
  <si>
    <t>Class XX Go/NoGo Assy</t>
  </si>
  <si>
    <t>Class XX Single-End Assy</t>
  </si>
  <si>
    <t>Metric Class Z Go/NoGo Assy</t>
  </si>
  <si>
    <t>Metric Class Z Single-End Assy</t>
  </si>
  <si>
    <t>Metric Class X Go/NoGo Assy</t>
  </si>
  <si>
    <t>Metric Class X Single-End Assy</t>
  </si>
  <si>
    <t>Metric Class XX Go/NoGo Assy</t>
  </si>
  <si>
    <t>Metric Class XX Single-End Assy</t>
  </si>
  <si>
    <t>Handles</t>
  </si>
  <si>
    <t>Gage Set Cases, Inserts, and Accessories</t>
  </si>
  <si>
    <t>Taperlock Gages</t>
  </si>
  <si>
    <t>Trilock Gages</t>
  </si>
  <si>
    <t>Certifications</t>
  </si>
  <si>
    <t>Class XX Pin Gages</t>
  </si>
  <si>
    <t>Progressive Gages</t>
  </si>
  <si>
    <t>Hex Gages</t>
  </si>
  <si>
    <t>Metric Class XX Pin Gages</t>
  </si>
  <si>
    <t>Class Z Single-End Assembly</t>
  </si>
  <si>
    <t>Class Z Double-End Assembly</t>
  </si>
  <si>
    <t>Metric Class Z Single-End Assembly</t>
  </si>
  <si>
    <t>Metric Class Z Double-End Assembly</t>
  </si>
  <si>
    <t>Class X Single-End Assembly</t>
  </si>
  <si>
    <t>Class X Double-End Assembly</t>
  </si>
  <si>
    <t>Metric Class X Single-End Assembly</t>
  </si>
  <si>
    <t>Metric Class X Double-End Assembly</t>
  </si>
  <si>
    <t>Class XX Single-End Assembly</t>
  </si>
  <si>
    <t>Class XX Double-End Assembly</t>
  </si>
  <si>
    <t>Metric Class XX Single-End Assembly</t>
  </si>
  <si>
    <t>Metric Class XX Double-End Assembly</t>
  </si>
  <si>
    <t>Tool Cart and Accessories</t>
  </si>
  <si>
    <t>Black Ox Class ZZ Single-End Assembly</t>
  </si>
  <si>
    <t>Black Ox Class ZZ Double-End Assembly</t>
  </si>
  <si>
    <t>Laser Marking</t>
  </si>
  <si>
    <t>Production Services</t>
  </si>
  <si>
    <t>Direct Market Promotion Codes</t>
  </si>
  <si>
    <t>GageShop.Com Items</t>
  </si>
  <si>
    <t>Office Supplies</t>
  </si>
  <si>
    <t>Shop Supplies</t>
  </si>
  <si>
    <t>Shipping Supplies</t>
  </si>
  <si>
    <t>New Items</t>
  </si>
  <si>
    <t>ASSYZ45</t>
  </si>
  <si>
    <t>Assembly, Class Z - 45%</t>
  </si>
  <si>
    <t>D</t>
  </si>
  <si>
    <t>Default</t>
  </si>
  <si>
    <t>NONINV</t>
  </si>
  <si>
    <t>NON-INVENTORY</t>
  </si>
  <si>
    <t>RROLLI</t>
  </si>
  <si>
    <t>disc. grp. id</t>
  </si>
  <si>
    <t>discount group description</t>
  </si>
  <si>
    <t>MG-25 sets are built around a center nominal gage and include 12 larger gages and 12 smaller gages that increase and decrease, respectively, in size from the nominal in .0001" or .01mm increments.</t>
  </si>
  <si>
    <t>Table headers on Library pages</t>
  </si>
  <si>
    <t>MSC</t>
  </si>
  <si>
    <t>Pro Forma, net</t>
  </si>
  <si>
    <t>VG List Price (2025)</t>
  </si>
  <si>
    <t>inch = 3 dec. places</t>
  </si>
  <si>
    <t>Single-end handles sold with Go screw, unless otherwise specified</t>
  </si>
  <si>
    <t>Double-end handles sold with Go and NoGo screws</t>
  </si>
  <si>
    <t>Class ZZ Custom-Length</t>
  </si>
  <si>
    <t>Class X Custom-Length</t>
  </si>
  <si>
    <t>MG Cl. Z (net)</t>
  </si>
  <si>
    <t>Custom Plain Ring Gages</t>
  </si>
  <si>
    <t>`</t>
  </si>
  <si>
    <t>Range</t>
  </si>
  <si>
    <t>4-Drawer Metal Cabinet w/ 4 inserts*</t>
  </si>
  <si>
    <t>Custom marking available upon request</t>
  </si>
  <si>
    <t>Ensure all items are categorized correctly (product group, etc.); review DEFAULT prod group</t>
  </si>
  <si>
    <t>Class ZZ Black Ox</t>
  </si>
  <si>
    <t>Pin Gages, Sets, &amp; Libraries</t>
  </si>
  <si>
    <t>Class ZZ (.0002" tolerance)</t>
  </si>
  <si>
    <t>Black Ox Pins</t>
  </si>
  <si>
    <t>Black Ox Sets</t>
  </si>
  <si>
    <t>Black Ox Libraries</t>
  </si>
  <si>
    <t>Bushings (1W - 5W)</t>
  </si>
  <si>
    <t>Bushings (6W - 8W)</t>
  </si>
  <si>
    <r>
      <rPr>
        <b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>: All tabulated size ranges are inclusive.</t>
    </r>
  </si>
  <si>
    <t>VG 2025</t>
  </si>
  <si>
    <t>Grainger</t>
  </si>
  <si>
    <t>Available while supplies last</t>
  </si>
  <si>
    <t>DISTRIBUTOR</t>
  </si>
  <si>
    <t>MCMASTER</t>
  </si>
  <si>
    <t>Inch Sets</t>
  </si>
  <si>
    <t>Metric Sets</t>
  </si>
  <si>
    <t>Inch Libraries</t>
  </si>
  <si>
    <t>Metric Libraries</t>
  </si>
  <si>
    <t>M0X</t>
  </si>
  <si>
    <t>M05X</t>
  </si>
  <si>
    <t>C10X</t>
  </si>
  <si>
    <t>C105X</t>
  </si>
  <si>
    <t>M1X</t>
  </si>
  <si>
    <t>M15X</t>
  </si>
  <si>
    <t>M2X</t>
  </si>
  <si>
    <t>M25X</t>
  </si>
  <si>
    <t>M3X</t>
  </si>
  <si>
    <t>M35X</t>
  </si>
  <si>
    <t>M4X</t>
  </si>
  <si>
    <t>M45X</t>
  </si>
  <si>
    <t>M5X</t>
  </si>
  <si>
    <t>M55X</t>
  </si>
  <si>
    <t>M6X</t>
  </si>
  <si>
    <t>M65X</t>
  </si>
  <si>
    <t>M7X</t>
  </si>
  <si>
    <t>M75X</t>
  </si>
  <si>
    <t>LCX</t>
  </si>
  <si>
    <t>L1X</t>
  </si>
  <si>
    <t>L2CX</t>
  </si>
  <si>
    <t>L2X</t>
  </si>
  <si>
    <t>L3X</t>
  </si>
  <si>
    <t>L4X</t>
  </si>
  <si>
    <t>Calibration Services: Class Z Sets &amp; Libraries</t>
  </si>
  <si>
    <t>"</t>
  </si>
  <si>
    <t>.02mm</t>
  </si>
  <si>
    <t>Calibration Services: Class X Sets &amp; Libraries</t>
  </si>
  <si>
    <t>Set</t>
  </si>
  <si>
    <t>NEW</t>
  </si>
  <si>
    <t>CUST</t>
  </si>
  <si>
    <t>CAL-M0-NEW</t>
  </si>
  <si>
    <t>CAL-M0-CUST</t>
  </si>
  <si>
    <t>CAL-M05-NEW</t>
  </si>
  <si>
    <t>CAL-M05-CUST</t>
  </si>
  <si>
    <t>CAL-C10-NEW</t>
  </si>
  <si>
    <t>CAL-C10-CUST</t>
  </si>
  <si>
    <t>CAL-C105-NEW</t>
  </si>
  <si>
    <t>CAL-C105-CUST</t>
  </si>
  <si>
    <t>CAL-M1-NEW</t>
  </si>
  <si>
    <t>CAL-M1-CUST</t>
  </si>
  <si>
    <t>CAL-M15-NEW</t>
  </si>
  <si>
    <t>CAL-M15-CUST</t>
  </si>
  <si>
    <t>CAL-M2-NEW</t>
  </si>
  <si>
    <t>CAL-M2-CUST</t>
  </si>
  <si>
    <t>CAL-M25-NEW</t>
  </si>
  <si>
    <t>CAL-M25-CUST</t>
  </si>
  <si>
    <t>CAL-M3-NEW</t>
  </si>
  <si>
    <t>CAL-M3-CUST</t>
  </si>
  <si>
    <t>CAL-M35-NEW</t>
  </si>
  <si>
    <t>CAL-M35-CUST</t>
  </si>
  <si>
    <t>CAL-M4-NEW</t>
  </si>
  <si>
    <t>CAL-M4-CUST</t>
  </si>
  <si>
    <t>CAL-M45-NEW</t>
  </si>
  <si>
    <t>CAL-M45-CUST</t>
  </si>
  <si>
    <t>CAL-M5-NEW</t>
  </si>
  <si>
    <t>CAL-M5-CUST</t>
  </si>
  <si>
    <t>CAL-M55-NEW</t>
  </si>
  <si>
    <t>CAL-M55-CUST</t>
  </si>
  <si>
    <t>CAL-M6-NEW</t>
  </si>
  <si>
    <t>CAL-M6-CUST</t>
  </si>
  <si>
    <t>CAL-M65-NEW</t>
  </si>
  <si>
    <t>CAL-M65-CUST</t>
  </si>
  <si>
    <t>CAL-M7-NEW</t>
  </si>
  <si>
    <t>CAL-M7-CUST</t>
  </si>
  <si>
    <t>CAL-M75-NEW</t>
  </si>
  <si>
    <t>CAL-M75-CUST</t>
  </si>
  <si>
    <t>CAL-M0MM-NEW</t>
  </si>
  <si>
    <t>CAL-M0MM-CUST</t>
  </si>
  <si>
    <t>CAL-M01MM-NEW</t>
  </si>
  <si>
    <t>CAL-M01MM-CUST</t>
  </si>
  <si>
    <t>CAL-M1MM-NEW</t>
  </si>
  <si>
    <t>CAL-M1MM-CUST</t>
  </si>
  <si>
    <t>CAL-M11MM-NEW</t>
  </si>
  <si>
    <t>CAL-M11MM-CUST</t>
  </si>
  <si>
    <t>CAL-M2MM-NEW</t>
  </si>
  <si>
    <t>CAL-M2MM-CUST</t>
  </si>
  <si>
    <t>CAL-M21MM-NEW</t>
  </si>
  <si>
    <t>CAL-M21MM-CUST</t>
  </si>
  <si>
    <t>CAL-M3MM-NEW</t>
  </si>
  <si>
    <t>CAL-M3MM-CUST</t>
  </si>
  <si>
    <t>CAL-M31MM-NEW</t>
  </si>
  <si>
    <t>CAL-M31MM-CUST</t>
  </si>
  <si>
    <t>CAL-M4MM-NEW</t>
  </si>
  <si>
    <t>CAL-M4MM-CUST</t>
  </si>
  <si>
    <t>CAL-M41MM-NEW</t>
  </si>
  <si>
    <t>CAL-M41MM-CUST</t>
  </si>
  <si>
    <t>CAL-M5MM-NEW</t>
  </si>
  <si>
    <t>CAL-M5MM-CUST</t>
  </si>
  <si>
    <t>CAL-M51MM-NEW</t>
  </si>
  <si>
    <t>CAL-M51MM-CUST</t>
  </si>
  <si>
    <t>CAL-M6MM-NEW</t>
  </si>
  <si>
    <t>CAL-M6MM-CUST</t>
  </si>
  <si>
    <t>CAL-M61MM-NEW</t>
  </si>
  <si>
    <t>CAL-M61MM-CUST</t>
  </si>
  <si>
    <t>CAL-M7MM-NEW</t>
  </si>
  <si>
    <t>CAL-M7MM-CUST</t>
  </si>
  <si>
    <t>CAL-M71MM-NEW</t>
  </si>
  <si>
    <t>CAL-M71MM-CUST</t>
  </si>
  <si>
    <t>CAL-M8MM-NEW</t>
  </si>
  <si>
    <t>CAL-M8MM-CUST</t>
  </si>
  <si>
    <t>CAL-M81MM-NEW</t>
  </si>
  <si>
    <t>CAL-M81MM-CUST</t>
  </si>
  <si>
    <t>CAL-LS-NEW</t>
  </si>
  <si>
    <t>CAL-LS-CUST</t>
  </si>
  <si>
    <t>CAL-LS5-NEW</t>
  </si>
  <si>
    <t>CAL-LS5-CUST</t>
  </si>
  <si>
    <t>CAL-LC-NEW</t>
  </si>
  <si>
    <t>CAL-LC-CUST</t>
  </si>
  <si>
    <t>CAL-LC5-NEW</t>
  </si>
  <si>
    <t>CAL-LC5-CUST</t>
  </si>
  <si>
    <t>CAL-L1-NEW</t>
  </si>
  <si>
    <t>CAL-L1-CUST</t>
  </si>
  <si>
    <t>CAL-L15-NEW</t>
  </si>
  <si>
    <t>CAL-L15-CUST</t>
  </si>
  <si>
    <t>CAL-L2C-NEW</t>
  </si>
  <si>
    <t>CAL-L2C-CUST</t>
  </si>
  <si>
    <t>CAL-L2-NEW</t>
  </si>
  <si>
    <t>CAL-L2-CUST</t>
  </si>
  <si>
    <t>CAL-L3-NEW</t>
  </si>
  <si>
    <t>CAL-L3-CUST</t>
  </si>
  <si>
    <t>CAL-L35-NEW</t>
  </si>
  <si>
    <t>CAL-L35-CUST</t>
  </si>
  <si>
    <t>CAL-L4-NEW</t>
  </si>
  <si>
    <t>CAL-L4-CUST</t>
  </si>
  <si>
    <t>CAL-L45-NEW</t>
  </si>
  <si>
    <t>CAL-L45-CUST</t>
  </si>
  <si>
    <t>CAL-L5-NEW</t>
  </si>
  <si>
    <t>CAL-L5-CUST</t>
  </si>
  <si>
    <t>CAL-L55-NEW</t>
  </si>
  <si>
    <t>CAL-L55-CUST</t>
  </si>
  <si>
    <t>CAL-L10MM-NEW</t>
  </si>
  <si>
    <t>CAL-L10MM-CUST</t>
  </si>
  <si>
    <t>CAL-L11MM-NEW</t>
  </si>
  <si>
    <t>CAL-L11MM-CUST</t>
  </si>
  <si>
    <t>CAL-L20MM-NEW</t>
  </si>
  <si>
    <t>CAL-L20MM-CUST</t>
  </si>
  <si>
    <t>CAL-L21MM-NEW</t>
  </si>
  <si>
    <t>CAL-L21MM-CUST</t>
  </si>
  <si>
    <t>CAL-L30MM-NEW</t>
  </si>
  <si>
    <t>CAL-L30MM-CUST</t>
  </si>
  <si>
    <t>CAL-L31MM-NEW</t>
  </si>
  <si>
    <t>CAL-L31MM-CUST</t>
  </si>
  <si>
    <t>CAL-M0X-NEW</t>
  </si>
  <si>
    <t>CAL-M0X-CUST</t>
  </si>
  <si>
    <t>CAL-M05X-NEW</t>
  </si>
  <si>
    <t>CAL-M05X-CUST</t>
  </si>
  <si>
    <t>CAL-C10X-NEW</t>
  </si>
  <si>
    <t>CAL-C10X-CUST</t>
  </si>
  <si>
    <t>CAL-C105X-NEW</t>
  </si>
  <si>
    <t>CAL-C105X-CUST</t>
  </si>
  <si>
    <t>CAL-M1X-NEW</t>
  </si>
  <si>
    <t>CAL-M1X-CUST</t>
  </si>
  <si>
    <t>CAL-M15X-NEW</t>
  </si>
  <si>
    <t>CAL-M15X-CUST</t>
  </si>
  <si>
    <t>CAL-M2X-NEW</t>
  </si>
  <si>
    <t>CAL-M2X-CUST</t>
  </si>
  <si>
    <t>CAL-M25X-NEW</t>
  </si>
  <si>
    <t>CAL-M25X-CUST</t>
  </si>
  <si>
    <t>CAL-M3X-NEW</t>
  </si>
  <si>
    <t>CAL-M3X-CUST</t>
  </si>
  <si>
    <t>CAL-M35X-NEW</t>
  </si>
  <si>
    <t>CAL-M35X-CUST</t>
  </si>
  <si>
    <t>CAL-M4X-NEW</t>
  </si>
  <si>
    <t>CAL-M4X-CUST</t>
  </si>
  <si>
    <t>CAL-M45X-NEW</t>
  </si>
  <si>
    <t>CAL-M45X-CUST</t>
  </si>
  <si>
    <t>CAL-M5X-NEW</t>
  </si>
  <si>
    <t>CAL-M5X-CUST</t>
  </si>
  <si>
    <t>CAL-M55X-NEW</t>
  </si>
  <si>
    <t>CAL-M55X-CUST</t>
  </si>
  <si>
    <t>CAL-M6X-NEW</t>
  </si>
  <si>
    <t>CAL-M6X-CUST</t>
  </si>
  <si>
    <t>CAL-M65X-NEW</t>
  </si>
  <si>
    <t>CAL-M65X-CUST</t>
  </si>
  <si>
    <t>CAL-M7X-NEW</t>
  </si>
  <si>
    <t>CAL-M7X-CUST</t>
  </si>
  <si>
    <t>CAL-M75X-NEW</t>
  </si>
  <si>
    <t>CAL-M75X-CUST</t>
  </si>
  <si>
    <t>CAL-LCX-NEW</t>
  </si>
  <si>
    <t>CAL-LCX-CUST</t>
  </si>
  <si>
    <t>CAL-L1X-NEW</t>
  </si>
  <si>
    <t>CAL-L1X-CUST</t>
  </si>
  <si>
    <t>CAL-L2CX-NEW</t>
  </si>
  <si>
    <t>CAL-L2CX-CUST</t>
  </si>
  <si>
    <t>CAL-L2X-NEW</t>
  </si>
  <si>
    <t>CAL-L2X-CUST</t>
  </si>
  <si>
    <t>CAL-L3X-NEW</t>
  </si>
  <si>
    <t>CAL-L3X-CUST</t>
  </si>
  <si>
    <t>CAL-L4X-NEW</t>
  </si>
  <si>
    <t>CAL-L4X-CUST</t>
  </si>
  <si>
    <t>Range #</t>
  </si>
  <si>
    <t>Class Z, X, or XX</t>
  </si>
  <si>
    <t>Disc. Grp. ID</t>
  </si>
  <si>
    <t>Discount Group</t>
  </si>
  <si>
    <t>*Update pricing in Item IDs file</t>
  </si>
  <si>
    <t>*DE Assy pricing updated Feb-16-2025</t>
  </si>
  <si>
    <t>*Revised 2/126/2025</t>
  </si>
  <si>
    <t>Revise pricing libraries (new discounts)</t>
  </si>
  <si>
    <t>Bilateral (Split) available for Class X and XX only</t>
  </si>
  <si>
    <t>Clean-up calibration item IDs</t>
  </si>
  <si>
    <t>Revise calibration item IDs in Item IDs workbook</t>
  </si>
  <si>
    <r>
      <rPr>
        <b/>
        <u/>
        <sz val="11"/>
        <rFont val="Calibri"/>
        <family val="2"/>
        <scheme val="minor"/>
      </rPr>
      <t>Note</t>
    </r>
    <r>
      <rPr>
        <sz val="11"/>
        <rFont val="Calibri"/>
        <family val="2"/>
        <scheme val="minor"/>
      </rPr>
      <t>: L30MM and L31MM consist of (2) 4-drawer metal cabinets.</t>
    </r>
  </si>
  <si>
    <r>
      <rPr>
        <b/>
        <u/>
        <sz val="11"/>
        <rFont val="Calibri"/>
        <family val="2"/>
        <scheme val="minor"/>
      </rPr>
      <t>Note</t>
    </r>
    <r>
      <rPr>
        <sz val="11"/>
        <rFont val="Calibri"/>
        <family val="2"/>
        <scheme val="minor"/>
      </rPr>
      <t>: L3, L35, L4, and L45 consist of (2) 4-drawer metal cabinets.</t>
    </r>
  </si>
  <si>
    <t>Individual calibration certificates are $15.00 each.</t>
  </si>
  <si>
    <t>X calibration performed on labmaster</t>
  </si>
  <si>
    <t>–</t>
  </si>
  <si>
    <t>Cylindrical Certifications</t>
  </si>
  <si>
    <r>
      <t>Note:</t>
    </r>
    <r>
      <rPr>
        <sz val="11"/>
        <color theme="1"/>
        <rFont val="Calibri"/>
        <family val="2"/>
        <scheme val="minor"/>
      </rPr>
      <t xml:space="preserve"> Style #2 Go and NoGo sections are separated by a 1/8" recess.</t>
    </r>
  </si>
  <si>
    <t>Accessories (cont.)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</si>
</sst>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5">
    <numFmt numFmtId="7" formatCode="&quot;$&quot;#,##0.00_);\(&quot;$&quot;#,##0.00\)"/>
    <numFmt numFmtId="43" formatCode="_(* #,##0.00_);_(* \(#,##0.00\);_(* &quot;-&quot;??_);_(@_)"/>
    <numFmt numFmtId="164" formatCode="0.000#"/>
    <numFmt numFmtId="165" formatCode="0.0000"/>
    <numFmt numFmtId="166" formatCode="0.000"/>
    <numFmt numFmtId="167" formatCode="#.000#"/>
    <numFmt numFmtId="168" formatCode="#\-#/#\'\'"/>
    <numFmt numFmtId="169" formatCode="#\-#/#"/>
    <numFmt numFmtId="170" formatCode="#\-##/##\'\'"/>
    <numFmt numFmtId="171" formatCode="mmmm\ d\,\ yyyy"/>
    <numFmt numFmtId="172" formatCode="&quot;$&quot;#,##0.00;\(&quot;$&quot;\ #,##0.00\);&quot;– &quot;"/>
    <numFmt numFmtId="173" formatCode="_(&quot;$&quot;* #,##0.00;\(&quot;$&quot;\ #,##0.00\);&quot;– &quot;"/>
    <numFmt numFmtId="174" formatCode="#.00"/>
    <numFmt numFmtId="175" formatCode="#.00;#.00;&quot;–&quot;"/>
    <numFmt numFmtId="176" formatCode="#.###"/>
    <numFmt numFmtId="177" formatCode="#.0000"/>
    <numFmt numFmtId="178" formatCode="&quot;Up to &quot;#\'\'"/>
    <numFmt numFmtId="179" formatCode="&quot;$&quot;#,##0.00\ ;\(&quot;$&quot;\ #,##0.00\);&quot;– &quot;"/>
    <numFmt numFmtId="180" formatCode="#.00#"/>
    <numFmt numFmtId="181" formatCode="#\-?/?\'\'"/>
    <numFmt numFmtId="182" formatCode="#.#&quot;mm&quot;"/>
    <numFmt numFmtId="183" formatCode="#.000"/>
    <numFmt numFmtId="184" formatCode="#.0#&quot;mm&quot;"/>
    <numFmt numFmtId="185" formatCode="#,##0.00;\(#,##0.00\);&quot;– &quot;"/>
    <numFmt numFmtId="186" formatCode="0.0%;\(0.0%\);&quot;– &quot;;@_(_%"/>
    <numFmt numFmtId="187" formatCode="#&quot;.&quot;"/>
    <numFmt numFmtId="188" formatCode="#.000##"/>
    <numFmt numFmtId="189" formatCode="#,##0;\(#,##0\);&quot;– &quot;"/>
    <numFmt numFmtId="190" formatCode="#&quot;W&quot;"/>
    <numFmt numFmtId="191" formatCode="#"/>
    <numFmt numFmtId="192" formatCode="#,##0.000;\(#,##0.000\);&quot;– &quot;"/>
    <numFmt numFmtId="193" formatCode="#;#;&quot;–&quot;"/>
    <numFmt numFmtId="194" formatCode="#,##0.0;\(#,##0.0\);&quot;– &quot;"/>
    <numFmt numFmtId="195" formatCode="0%;\(0%\);&quot;– &quot;;@_(_%"/>
    <numFmt numFmtId="196" formatCode="mmm\-d\-yyyy"/>
  </numFmts>
  <fonts count="8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E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E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E1"/>
      <name val="Calibri"/>
      <family val="2"/>
      <scheme val="minor"/>
    </font>
    <font>
      <i/>
      <sz val="11"/>
      <color rgb="FF0000E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2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</font>
    <font>
      <sz val="11"/>
      <color rgb="FF0000E1"/>
      <name val="Calibri"/>
      <family val="2"/>
    </font>
    <font>
      <b/>
      <sz val="14"/>
      <color theme="1"/>
      <name val="Calibri"/>
      <family val="2"/>
      <scheme val="minor"/>
    </font>
    <font>
      <i/>
      <sz val="11"/>
      <color rgb="FF0000E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4"/>
      <color theme="1"/>
      <name val="Calibri"/>
      <family val="2"/>
      <scheme val="minor"/>
    </font>
    <font>
      <b/>
      <i/>
      <sz val="12"/>
      <color rgb="FF0000E1"/>
      <name val="Calibri"/>
      <family val="2"/>
      <scheme val="minor"/>
    </font>
    <font>
      <b/>
      <sz val="12"/>
      <color rgb="FF0303EB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b/>
      <i/>
      <u/>
      <sz val="11"/>
      <color theme="1"/>
      <name val="Calibri"/>
      <family val="2"/>
      <scheme val="minor"/>
    </font>
    <font>
      <sz val="11"/>
      <color rgb="FFED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4"/>
      <color rgb="FFED0000"/>
      <name val="Calibri"/>
      <family val="2"/>
      <scheme val="minor"/>
    </font>
    <font>
      <b/>
      <i/>
      <u val="singleAccounting"/>
      <sz val="11"/>
      <color theme="1"/>
      <name val="Calibri"/>
      <family val="2"/>
      <scheme val="minor"/>
    </font>
    <font>
      <i/>
      <sz val="11"/>
      <color rgb="FF0000E1"/>
      <name val="Arial"/>
      <family val="2"/>
    </font>
    <font>
      <sz val="18"/>
      <color rgb="FF0000E1"/>
      <name val="Calibri"/>
      <family val="2"/>
      <scheme val="minor"/>
    </font>
    <font>
      <b/>
      <sz val="11"/>
      <color rgb="FF0303EB"/>
      <name val="Calibri"/>
      <family val="2"/>
      <scheme val="minor"/>
    </font>
    <font>
      <sz val="11"/>
      <color rgb="FF0000FA"/>
      <name val="Calibri"/>
      <family val="2"/>
      <scheme val="minor"/>
    </font>
    <font>
      <b/>
      <sz val="11"/>
      <color rgb="FF0000FA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4"/>
      <color rgb="FF0000E1"/>
      <name val="Calibri"/>
      <family val="2"/>
      <scheme val="minor"/>
    </font>
    <font>
      <b/>
      <u/>
      <sz val="12"/>
      <color theme="1"/>
      <name val="Calibri"/>
      <family val="2"/>
    </font>
    <font>
      <i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</font>
    <font>
      <b/>
      <i/>
      <u/>
      <sz val="11"/>
      <color theme="1"/>
      <name val="Calibri"/>
      <family val="2"/>
    </font>
    <font>
      <b/>
      <sz val="11"/>
      <name val="Calibri"/>
      <family val="2"/>
    </font>
    <font>
      <sz val="11"/>
      <color rgb="FF008000"/>
      <name val="Calibri"/>
      <family val="2"/>
      <scheme val="minor"/>
    </font>
    <font>
      <i/>
      <sz val="11"/>
      <color theme="1"/>
      <name val="Calibri"/>
      <family val="2"/>
    </font>
    <font>
      <b/>
      <sz val="14"/>
      <color rgb="FF0000E1"/>
      <name val="Calibri"/>
      <family val="2"/>
      <scheme val="minor"/>
    </font>
    <font>
      <strike/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9FFC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EFFCFF"/>
        <bgColor indexed="64"/>
      </patternFill>
    </fill>
    <fill>
      <patternFill patternType="solid">
        <fgColor rgb="FFFFD9FC"/>
        <bgColor indexed="64"/>
      </patternFill>
    </fill>
    <fill>
      <patternFill patternType="solid">
        <fgColor rgb="FFAFFFAF"/>
        <bgColor indexed="64"/>
      </patternFill>
    </fill>
    <fill>
      <patternFill patternType="solid">
        <fgColor rgb="FFABFFAB"/>
        <bgColor indexed="64"/>
      </patternFill>
    </fill>
    <fill>
      <patternFill patternType="solid">
        <fgColor rgb="FFFFD5FA"/>
        <bgColor indexed="64"/>
      </patternFill>
    </fill>
    <fill>
      <patternFill patternType="solid">
        <fgColor rgb="FFFFDA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30010"/>
        <bgColor indexed="64"/>
      </patternFill>
    </fill>
    <fill>
      <patternFill patternType="darkDown">
        <fgColor rgb="FFDDE8FF"/>
      </patternFill>
    </fill>
  </fills>
  <borders count="9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theme="0" tint="-0.249977111117893"/>
      </top>
      <bottom/>
      <diagonal/>
    </border>
    <border>
      <left style="medium">
        <color indexed="64"/>
      </left>
      <right/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249977111117893"/>
      </top>
      <bottom/>
      <diagonal/>
    </border>
    <border>
      <left style="medium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 style="thin">
        <color theme="0" tint="-0.249977111117893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0" tint="-0.249977111117893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theme="0" tint="-0.24997711111789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medium">
        <color indexed="64"/>
      </left>
      <right/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/>
      <right style="medium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77111117893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</borders>
  <cellStyleXfs count="12">
    <xf numFmtId="0" fontId="0" fillId="0" borderId="0"/>
    <xf numFmtId="43" fontId="12" fillId="0" borderId="0" applyFont="0" applyFill="0" applyBorder="0" applyAlignment="0" applyProtection="0"/>
    <xf numFmtId="0" fontId="38" fillId="0" borderId="0"/>
    <xf numFmtId="9" fontId="38" fillId="0" borderId="0" applyFont="0" applyFill="0" applyBorder="0" applyAlignment="0" applyProtection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</cellStyleXfs>
  <cellXfs count="1094">
    <xf numFmtId="0" fontId="0" fillId="0" borderId="0" xfId="0"/>
    <xf numFmtId="0" fontId="15" fillId="0" borderId="0" xfId="0" applyFont="1"/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  <xf numFmtId="164" fontId="16" fillId="0" borderId="0" xfId="0" applyNumberFormat="1" applyFont="1" applyAlignment="1">
      <alignment horizontal="left"/>
    </xf>
    <xf numFmtId="165" fontId="16" fillId="0" borderId="0" xfId="0" applyNumberFormat="1" applyFont="1" applyAlignment="1">
      <alignment horizontal="left"/>
    </xf>
    <xf numFmtId="2" fontId="16" fillId="0" borderId="0" xfId="0" applyNumberFormat="1" applyFont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16" fillId="0" borderId="0" xfId="0" applyFont="1"/>
    <xf numFmtId="0" fontId="16" fillId="2" borderId="0" xfId="0" applyFont="1" applyFill="1"/>
    <xf numFmtId="0" fontId="22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Continuous"/>
    </xf>
    <xf numFmtId="0" fontId="14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Continuous" vertical="center"/>
    </xf>
    <xf numFmtId="0" fontId="23" fillId="0" borderId="0" xfId="0" applyFont="1" applyAlignment="1">
      <alignment horizontal="centerContinuous" vertical="center"/>
    </xf>
    <xf numFmtId="0" fontId="24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26" fillId="0" borderId="0" xfId="0" applyFont="1"/>
    <xf numFmtId="166" fontId="21" fillId="0" borderId="0" xfId="0" applyNumberFormat="1" applyFont="1" applyAlignment="1">
      <alignment horizontal="center"/>
    </xf>
    <xf numFmtId="165" fontId="21" fillId="0" borderId="0" xfId="0" applyNumberFormat="1" applyFont="1" applyAlignment="1">
      <alignment horizontal="left"/>
    </xf>
    <xf numFmtId="2" fontId="21" fillId="0" borderId="0" xfId="0" applyNumberFormat="1" applyFont="1" applyAlignment="1">
      <alignment horizontal="left"/>
    </xf>
    <xf numFmtId="1" fontId="0" fillId="0" borderId="0" xfId="0" applyNumberFormat="1"/>
    <xf numFmtId="166" fontId="26" fillId="0" borderId="0" xfId="0" applyNumberFormat="1" applyFont="1" applyAlignment="1">
      <alignment horizontal="left"/>
    </xf>
    <xf numFmtId="1" fontId="19" fillId="0" borderId="0" xfId="0" applyNumberFormat="1" applyFont="1"/>
    <xf numFmtId="0" fontId="19" fillId="0" borderId="0" xfId="0" applyFont="1" applyAlignment="1">
      <alignment wrapText="1"/>
    </xf>
    <xf numFmtId="0" fontId="13" fillId="0" borderId="0" xfId="0" applyFont="1"/>
    <xf numFmtId="0" fontId="19" fillId="0" borderId="0" xfId="0" applyFont="1" applyAlignment="1">
      <alignment horizontal="center" wrapText="1"/>
    </xf>
    <xf numFmtId="1" fontId="21" fillId="0" borderId="0" xfId="0" applyNumberFormat="1" applyFont="1" applyAlignment="1">
      <alignment horizontal="left"/>
    </xf>
    <xf numFmtId="0" fontId="17" fillId="0" borderId="0" xfId="0" applyFont="1"/>
    <xf numFmtId="0" fontId="0" fillId="0" borderId="0" xfId="0" applyAlignment="1">
      <alignment horizontal="right"/>
    </xf>
    <xf numFmtId="165" fontId="0" fillId="0" borderId="0" xfId="0" applyNumberFormat="1"/>
    <xf numFmtId="166" fontId="0" fillId="0" borderId="0" xfId="0" applyNumberFormat="1"/>
    <xf numFmtId="166" fontId="16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0" fontId="29" fillId="0" borderId="0" xfId="0" applyFont="1"/>
    <xf numFmtId="0" fontId="21" fillId="0" borderId="0" xfId="0" applyFont="1"/>
    <xf numFmtId="2" fontId="19" fillId="0" borderId="0" xfId="0" applyNumberFormat="1" applyFont="1"/>
    <xf numFmtId="0" fontId="0" fillId="0" borderId="0" xfId="0" applyAlignment="1">
      <alignment vertical="top"/>
    </xf>
    <xf numFmtId="166" fontId="23" fillId="0" borderId="0" xfId="0" applyNumberFormat="1" applyFont="1" applyAlignment="1">
      <alignment horizontal="centerContinuous"/>
    </xf>
    <xf numFmtId="0" fontId="18" fillId="0" borderId="0" xfId="0" applyFont="1"/>
    <xf numFmtId="0" fontId="17" fillId="0" borderId="0" xfId="0" quotePrefix="1" applyFont="1" applyAlignment="1">
      <alignment horizontal="center"/>
    </xf>
    <xf numFmtId="0" fontId="32" fillId="0" borderId="0" xfId="0" applyFont="1"/>
    <xf numFmtId="0" fontId="35" fillId="0" borderId="0" xfId="0" applyFont="1"/>
    <xf numFmtId="0" fontId="36" fillId="0" borderId="0" xfId="0" applyFont="1"/>
    <xf numFmtId="0" fontId="13" fillId="0" borderId="0" xfId="0" applyFont="1" applyAlignment="1">
      <alignment horizontal="left"/>
    </xf>
    <xf numFmtId="172" fontId="21" fillId="0" borderId="0" xfId="0" applyNumberFormat="1" applyFont="1" applyAlignment="1">
      <alignment horizontal="center"/>
    </xf>
    <xf numFmtId="0" fontId="31" fillId="0" borderId="0" xfId="0" applyFont="1" applyAlignment="1">
      <alignment horizontal="left"/>
    </xf>
    <xf numFmtId="0" fontId="31" fillId="0" borderId="0" xfId="0" applyFont="1"/>
    <xf numFmtId="0" fontId="24" fillId="0" borderId="0" xfId="0" applyFont="1"/>
    <xf numFmtId="0" fontId="38" fillId="0" borderId="0" xfId="2"/>
    <xf numFmtId="9" fontId="0" fillId="0" borderId="0" xfId="3" applyFont="1"/>
    <xf numFmtId="0" fontId="39" fillId="0" borderId="0" xfId="2" applyFont="1"/>
    <xf numFmtId="0" fontId="41" fillId="0" borderId="0" xfId="2" applyFont="1"/>
    <xf numFmtId="167" fontId="16" fillId="0" borderId="0" xfId="2" applyNumberFormat="1" applyFont="1" applyAlignment="1">
      <alignment horizontal="center"/>
    </xf>
    <xf numFmtId="9" fontId="41" fillId="0" borderId="0" xfId="3" applyFont="1"/>
    <xf numFmtId="174" fontId="16" fillId="0" borderId="0" xfId="2" applyNumberFormat="1" applyFont="1" applyAlignment="1">
      <alignment horizontal="center"/>
    </xf>
    <xf numFmtId="0" fontId="24" fillId="0" borderId="0" xfId="2" applyFont="1" applyAlignment="1">
      <alignment horizontal="left"/>
    </xf>
    <xf numFmtId="0" fontId="38" fillId="0" borderId="0" xfId="2" applyAlignment="1">
      <alignment horizontal="left"/>
    </xf>
    <xf numFmtId="165" fontId="16" fillId="0" borderId="0" xfId="2" applyNumberFormat="1" applyFont="1" applyAlignment="1">
      <alignment horizontal="left"/>
    </xf>
    <xf numFmtId="9" fontId="16" fillId="0" borderId="0" xfId="3" applyFont="1" applyAlignment="1">
      <alignment horizontal="left"/>
    </xf>
    <xf numFmtId="0" fontId="23" fillId="0" borderId="0" xfId="2" applyFont="1" applyAlignment="1">
      <alignment horizontal="centerContinuous" vertical="center"/>
    </xf>
    <xf numFmtId="0" fontId="38" fillId="0" borderId="0" xfId="2" applyAlignment="1">
      <alignment horizontal="centerContinuous" vertical="center"/>
    </xf>
    <xf numFmtId="167" fontId="16" fillId="2" borderId="12" xfId="2" applyNumberFormat="1" applyFont="1" applyFill="1" applyBorder="1" applyAlignment="1">
      <alignment horizontal="center"/>
    </xf>
    <xf numFmtId="9" fontId="0" fillId="0" borderId="0" xfId="3" applyFont="1" applyAlignment="1">
      <alignment horizontal="center"/>
    </xf>
    <xf numFmtId="0" fontId="38" fillId="0" borderId="0" xfId="2" applyAlignment="1">
      <alignment horizontal="center"/>
    </xf>
    <xf numFmtId="167" fontId="17" fillId="0" borderId="0" xfId="2" applyNumberFormat="1" applyFont="1" applyAlignment="1">
      <alignment horizontal="center"/>
    </xf>
    <xf numFmtId="2" fontId="17" fillId="0" borderId="0" xfId="2" applyNumberFormat="1" applyFont="1" applyAlignment="1">
      <alignment horizontal="center"/>
    </xf>
    <xf numFmtId="176" fontId="16" fillId="0" borderId="0" xfId="2" applyNumberFormat="1" applyFont="1" applyAlignment="1">
      <alignment horizontal="center"/>
    </xf>
    <xf numFmtId="166" fontId="16" fillId="2" borderId="12" xfId="2" applyNumberFormat="1" applyFont="1" applyFill="1" applyBorder="1" applyAlignment="1">
      <alignment horizontal="center"/>
    </xf>
    <xf numFmtId="166" fontId="17" fillId="0" borderId="0" xfId="2" applyNumberFormat="1" applyFont="1" applyAlignment="1">
      <alignment horizontal="center"/>
    </xf>
    <xf numFmtId="2" fontId="16" fillId="0" borderId="0" xfId="2" applyNumberFormat="1" applyFont="1" applyAlignment="1">
      <alignment horizontal="right"/>
    </xf>
    <xf numFmtId="0" fontId="43" fillId="0" borderId="0" xfId="2" applyFont="1"/>
    <xf numFmtId="175" fontId="21" fillId="0" borderId="0" xfId="2" applyNumberFormat="1" applyFont="1" applyAlignment="1">
      <alignment horizontal="right"/>
    </xf>
    <xf numFmtId="0" fontId="0" fillId="0" borderId="0" xfId="0" applyAlignment="1">
      <alignment vertical="center"/>
    </xf>
    <xf numFmtId="0" fontId="37" fillId="4" borderId="9" xfId="0" applyFont="1" applyFill="1" applyBorder="1" applyAlignment="1">
      <alignment horizontal="centerContinuous" vertical="center"/>
    </xf>
    <xf numFmtId="0" fontId="37" fillId="4" borderId="38" xfId="0" applyFont="1" applyFill="1" applyBorder="1" applyAlignment="1">
      <alignment horizontal="centerContinuous" vertical="center"/>
    </xf>
    <xf numFmtId="0" fontId="12" fillId="0" borderId="0" xfId="4"/>
    <xf numFmtId="0" fontId="17" fillId="0" borderId="0" xfId="4" applyFont="1"/>
    <xf numFmtId="0" fontId="12" fillId="0" borderId="0" xfId="4" applyAlignment="1">
      <alignment horizontal="left"/>
    </xf>
    <xf numFmtId="0" fontId="14" fillId="0" borderId="0" xfId="4" applyFont="1"/>
    <xf numFmtId="0" fontId="45" fillId="0" borderId="0" xfId="4" applyFont="1"/>
    <xf numFmtId="166" fontId="28" fillId="0" borderId="0" xfId="4" applyNumberFormat="1" applyFont="1" applyAlignment="1">
      <alignment horizontal="left"/>
    </xf>
    <xf numFmtId="0" fontId="16" fillId="0" borderId="0" xfId="4" applyFont="1"/>
    <xf numFmtId="0" fontId="16" fillId="0" borderId="0" xfId="4" applyFont="1" applyAlignment="1">
      <alignment horizontal="left"/>
    </xf>
    <xf numFmtId="0" fontId="47" fillId="0" borderId="0" xfId="4" applyFont="1" applyAlignment="1">
      <alignment horizontal="center" vertical="center"/>
    </xf>
    <xf numFmtId="177" fontId="16" fillId="0" borderId="0" xfId="4" applyNumberFormat="1" applyFont="1" applyAlignment="1">
      <alignment horizontal="left"/>
    </xf>
    <xf numFmtId="175" fontId="16" fillId="0" borderId="0" xfId="2" applyNumberFormat="1" applyFont="1" applyAlignment="1">
      <alignment horizontal="right"/>
    </xf>
    <xf numFmtId="177" fontId="12" fillId="0" borderId="0" xfId="4" applyNumberFormat="1" applyAlignment="1">
      <alignment horizontal="left"/>
    </xf>
    <xf numFmtId="0" fontId="17" fillId="0" borderId="0" xfId="4" applyFont="1" applyAlignment="1">
      <alignment horizontal="left"/>
    </xf>
    <xf numFmtId="0" fontId="16" fillId="7" borderId="0" xfId="4" applyFont="1" applyFill="1"/>
    <xf numFmtId="166" fontId="16" fillId="0" borderId="0" xfId="4" applyNumberFormat="1" applyFont="1" applyAlignment="1">
      <alignment horizontal="left"/>
    </xf>
    <xf numFmtId="0" fontId="12" fillId="7" borderId="0" xfId="4" applyFill="1"/>
    <xf numFmtId="166" fontId="12" fillId="0" borderId="0" xfId="4" applyNumberFormat="1" applyAlignment="1">
      <alignment horizontal="left"/>
    </xf>
    <xf numFmtId="177" fontId="17" fillId="0" borderId="0" xfId="4" applyNumberFormat="1" applyFont="1" applyAlignment="1">
      <alignment horizontal="left"/>
    </xf>
    <xf numFmtId="166" fontId="17" fillId="0" borderId="0" xfId="4" applyNumberFormat="1" applyFont="1" applyAlignment="1">
      <alignment horizontal="left"/>
    </xf>
    <xf numFmtId="0" fontId="12" fillId="0" borderId="0" xfId="4" applyAlignment="1">
      <alignment vertical="center"/>
    </xf>
    <xf numFmtId="0" fontId="17" fillId="0" borderId="0" xfId="4" applyFont="1" applyAlignment="1">
      <alignment vertical="center"/>
    </xf>
    <xf numFmtId="0" fontId="38" fillId="0" borderId="0" xfId="2" applyAlignment="1">
      <alignment vertical="center"/>
    </xf>
    <xf numFmtId="0" fontId="14" fillId="0" borderId="0" xfId="4" applyFont="1" applyAlignment="1">
      <alignment vertical="center"/>
    </xf>
    <xf numFmtId="0" fontId="27" fillId="0" borderId="0" xfId="4" applyFont="1" applyAlignment="1">
      <alignment vertical="center"/>
    </xf>
    <xf numFmtId="0" fontId="46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6" fillId="6" borderId="0" xfId="4" applyFont="1" applyFill="1" applyAlignment="1">
      <alignment vertical="center"/>
    </xf>
    <xf numFmtId="177" fontId="16" fillId="0" borderId="0" xfId="4" applyNumberFormat="1" applyFont="1" applyAlignment="1">
      <alignment horizontal="left" vertical="center"/>
    </xf>
    <xf numFmtId="2" fontId="16" fillId="0" borderId="0" xfId="4" applyNumberFormat="1" applyFont="1" applyAlignment="1">
      <alignment horizontal="left" vertical="center"/>
    </xf>
    <xf numFmtId="0" fontId="12" fillId="6" borderId="0" xfId="4" applyFill="1" applyAlignment="1">
      <alignment vertical="center"/>
    </xf>
    <xf numFmtId="165" fontId="19" fillId="0" borderId="0" xfId="0" applyNumberFormat="1" applyFont="1"/>
    <xf numFmtId="166" fontId="48" fillId="0" borderId="0" xfId="4" applyNumberFormat="1" applyFont="1" applyAlignment="1">
      <alignment horizontal="left"/>
    </xf>
    <xf numFmtId="0" fontId="18" fillId="0" borderId="11" xfId="5" applyFont="1" applyBorder="1" applyAlignment="1">
      <alignment horizontal="center" vertical="center"/>
    </xf>
    <xf numFmtId="0" fontId="18" fillId="0" borderId="34" xfId="5" applyFont="1" applyBorder="1" applyAlignment="1">
      <alignment horizontal="center" vertical="center"/>
    </xf>
    <xf numFmtId="0" fontId="20" fillId="0" borderId="21" xfId="4" applyFont="1" applyBorder="1" applyAlignment="1">
      <alignment horizontal="center" vertical="center"/>
    </xf>
    <xf numFmtId="0" fontId="20" fillId="5" borderId="46" xfId="4" applyFont="1" applyFill="1" applyBorder="1" applyAlignment="1">
      <alignment horizontal="center" vertical="center"/>
    </xf>
    <xf numFmtId="0" fontId="20" fillId="5" borderId="47" xfId="4" applyFont="1" applyFill="1" applyBorder="1" applyAlignment="1">
      <alignment horizontal="center" vertical="center"/>
    </xf>
    <xf numFmtId="0" fontId="19" fillId="0" borderId="0" xfId="4" applyFont="1"/>
    <xf numFmtId="9" fontId="19" fillId="0" borderId="0" xfId="3" applyFont="1"/>
    <xf numFmtId="0" fontId="21" fillId="0" borderId="0" xfId="4" applyFont="1"/>
    <xf numFmtId="0" fontId="19" fillId="0" borderId="0" xfId="4" applyFont="1" applyAlignment="1">
      <alignment horizontal="center" vertical="center"/>
    </xf>
    <xf numFmtId="0" fontId="25" fillId="0" borderId="15" xfId="4" applyFont="1" applyBorder="1" applyAlignment="1">
      <alignment horizontal="center" vertical="center"/>
    </xf>
    <xf numFmtId="179" fontId="20" fillId="0" borderId="14" xfId="0" applyNumberFormat="1" applyFont="1" applyBorder="1" applyAlignment="1">
      <alignment vertical="center"/>
    </xf>
    <xf numFmtId="179" fontId="20" fillId="5" borderId="29" xfId="2" applyNumberFormat="1" applyFont="1" applyFill="1" applyBorder="1" applyAlignment="1">
      <alignment horizontal="right" vertical="center"/>
    </xf>
    <xf numFmtId="179" fontId="20" fillId="5" borderId="32" xfId="2" applyNumberFormat="1" applyFont="1" applyFill="1" applyBorder="1" applyAlignment="1">
      <alignment horizontal="right" vertical="center"/>
    </xf>
    <xf numFmtId="0" fontId="18" fillId="0" borderId="18" xfId="5" applyFont="1" applyBorder="1" applyAlignment="1">
      <alignment horizontal="center" vertical="center"/>
    </xf>
    <xf numFmtId="0" fontId="19" fillId="0" borderId="19" xfId="4" applyFont="1" applyBorder="1" applyAlignment="1">
      <alignment horizontal="center" vertical="center"/>
    </xf>
    <xf numFmtId="0" fontId="19" fillId="5" borderId="28" xfId="4" applyFont="1" applyFill="1" applyBorder="1" applyAlignment="1">
      <alignment horizontal="center" vertical="center"/>
    </xf>
    <xf numFmtId="0" fontId="19" fillId="5" borderId="31" xfId="4" applyFont="1" applyFill="1" applyBorder="1" applyAlignment="1">
      <alignment horizontal="center" vertical="center"/>
    </xf>
    <xf numFmtId="0" fontId="20" fillId="0" borderId="6" xfId="4" applyFont="1" applyBorder="1" applyAlignment="1">
      <alignment horizontal="center" vertical="center"/>
    </xf>
    <xf numFmtId="0" fontId="20" fillId="5" borderId="27" xfId="4" applyFont="1" applyFill="1" applyBorder="1" applyAlignment="1">
      <alignment horizontal="center" vertical="center"/>
    </xf>
    <xf numFmtId="0" fontId="20" fillId="5" borderId="30" xfId="4" applyFont="1" applyFill="1" applyBorder="1" applyAlignment="1">
      <alignment horizontal="center" vertical="center"/>
    </xf>
    <xf numFmtId="0" fontId="42" fillId="0" borderId="0" xfId="2" applyFont="1" applyAlignment="1">
      <alignment horizontal="centerContinuous"/>
    </xf>
    <xf numFmtId="0" fontId="42" fillId="0" borderId="0" xfId="2" applyFont="1"/>
    <xf numFmtId="0" fontId="43" fillId="0" borderId="0" xfId="2" applyFont="1" applyAlignment="1">
      <alignment horizontal="left"/>
    </xf>
    <xf numFmtId="0" fontId="43" fillId="0" borderId="0" xfId="2" applyFont="1" applyAlignment="1">
      <alignment vertical="center"/>
    </xf>
    <xf numFmtId="0" fontId="43" fillId="0" borderId="0" xfId="2" applyFont="1" applyAlignment="1">
      <alignment horizontal="left" vertical="center"/>
    </xf>
    <xf numFmtId="0" fontId="43" fillId="0" borderId="0" xfId="2" applyFont="1" applyAlignment="1">
      <alignment horizontal="center" vertical="center"/>
    </xf>
    <xf numFmtId="0" fontId="42" fillId="0" borderId="0" xfId="2" applyFont="1" applyAlignment="1">
      <alignment horizontal="center" vertical="center"/>
    </xf>
    <xf numFmtId="0" fontId="40" fillId="0" borderId="0" xfId="0" applyFont="1"/>
    <xf numFmtId="0" fontId="38" fillId="0" borderId="0" xfId="0" applyFont="1"/>
    <xf numFmtId="165" fontId="16" fillId="0" borderId="0" xfId="0" applyNumberFormat="1" applyFont="1"/>
    <xf numFmtId="0" fontId="51" fillId="0" borderId="0" xfId="0" applyFont="1"/>
    <xf numFmtId="0" fontId="17" fillId="0" borderId="0" xfId="0" applyFont="1" applyAlignment="1">
      <alignment vertical="center"/>
    </xf>
    <xf numFmtId="2" fontId="16" fillId="0" borderId="0" xfId="0" applyNumberFormat="1" applyFont="1"/>
    <xf numFmtId="167" fontId="16" fillId="0" borderId="0" xfId="0" applyNumberFormat="1" applyFont="1"/>
    <xf numFmtId="180" fontId="16" fillId="0" borderId="0" xfId="0" applyNumberFormat="1" applyFont="1"/>
    <xf numFmtId="9" fontId="16" fillId="0" borderId="0" xfId="6" applyFont="1" applyAlignment="1">
      <alignment horizontal="center"/>
    </xf>
    <xf numFmtId="0" fontId="52" fillId="0" borderId="21" xfId="0" applyFont="1" applyBorder="1" applyAlignment="1">
      <alignment horizontal="centerContinuous" vertical="center"/>
    </xf>
    <xf numFmtId="0" fontId="52" fillId="0" borderId="0" xfId="0" applyFont="1" applyAlignment="1">
      <alignment horizontal="centerContinuous" vertical="center"/>
    </xf>
    <xf numFmtId="0" fontId="52" fillId="0" borderId="14" xfId="0" applyFont="1" applyBorder="1" applyAlignment="1">
      <alignment horizontal="centerContinuous" vertical="center"/>
    </xf>
    <xf numFmtId="0" fontId="14" fillId="0" borderId="11" xfId="0" applyFont="1" applyBorder="1" applyAlignment="1">
      <alignment horizontal="center" vertical="center"/>
    </xf>
    <xf numFmtId="178" fontId="14" fillId="0" borderId="34" xfId="0" applyNumberFormat="1" applyFont="1" applyBorder="1" applyAlignment="1">
      <alignment horizontal="center"/>
    </xf>
    <xf numFmtId="178" fontId="14" fillId="0" borderId="15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172" fontId="17" fillId="0" borderId="21" xfId="0" applyNumberFormat="1" applyFont="1" applyBorder="1" applyAlignment="1">
      <alignment horizontal="right"/>
    </xf>
    <xf numFmtId="0" fontId="0" fillId="0" borderId="19" xfId="0" applyBorder="1" applyAlignment="1">
      <alignment horizontal="center"/>
    </xf>
    <xf numFmtId="172" fontId="17" fillId="0" borderId="21" xfId="0" applyNumberFormat="1" applyFont="1" applyBorder="1" applyAlignment="1">
      <alignment horizontal="center"/>
    </xf>
    <xf numFmtId="172" fontId="17" fillId="0" borderId="14" xfId="0" applyNumberFormat="1" applyFont="1" applyBorder="1" applyAlignment="1">
      <alignment horizontal="center"/>
    </xf>
    <xf numFmtId="0" fontId="0" fillId="0" borderId="6" xfId="0" applyBorder="1" applyAlignment="1">
      <alignment horizontal="centerContinuous"/>
    </xf>
    <xf numFmtId="0" fontId="0" fillId="0" borderId="0" xfId="0" applyAlignment="1">
      <alignment horizontal="centerContinuous"/>
    </xf>
    <xf numFmtId="172" fontId="17" fillId="0" borderId="21" xfId="0" applyNumberFormat="1" applyFont="1" applyBorder="1" applyAlignment="1">
      <alignment horizontal="centerContinuous"/>
    </xf>
    <xf numFmtId="0" fontId="27" fillId="0" borderId="21" xfId="0" applyFont="1" applyBorder="1" applyAlignment="1">
      <alignment horizontal="right"/>
    </xf>
    <xf numFmtId="0" fontId="0" fillId="5" borderId="24" xfId="0" applyFill="1" applyBorder="1" applyAlignment="1">
      <alignment horizontal="center"/>
    </xf>
    <xf numFmtId="0" fontId="0" fillId="5" borderId="23" xfId="0" applyFill="1" applyBorder="1"/>
    <xf numFmtId="172" fontId="17" fillId="5" borderId="35" xfId="0" applyNumberFormat="1" applyFont="1" applyFill="1" applyBorder="1" applyAlignment="1">
      <alignment horizontal="centerContinuous"/>
    </xf>
    <xf numFmtId="0" fontId="27" fillId="5" borderId="35" xfId="0" applyFont="1" applyFill="1" applyBorder="1" applyAlignment="1">
      <alignment horizontal="right"/>
    </xf>
    <xf numFmtId="0" fontId="0" fillId="5" borderId="25" xfId="0" applyFill="1" applyBorder="1" applyAlignment="1">
      <alignment horizontal="center"/>
    </xf>
    <xf numFmtId="172" fontId="17" fillId="5" borderId="35" xfId="0" applyNumberFormat="1" applyFont="1" applyFill="1" applyBorder="1" applyAlignment="1">
      <alignment horizontal="center"/>
    </xf>
    <xf numFmtId="172" fontId="17" fillId="5" borderId="26" xfId="0" applyNumberFormat="1" applyFont="1" applyFill="1" applyBorder="1" applyAlignment="1">
      <alignment horizontal="center"/>
    </xf>
    <xf numFmtId="0" fontId="0" fillId="5" borderId="6" xfId="0" applyFill="1" applyBorder="1" applyAlignment="1">
      <alignment horizontal="centerContinuous"/>
    </xf>
    <xf numFmtId="0" fontId="0" fillId="5" borderId="0" xfId="0" applyFill="1" applyAlignment="1">
      <alignment horizontal="centerContinuous"/>
    </xf>
    <xf numFmtId="172" fontId="17" fillId="5" borderId="21" xfId="0" applyNumberFormat="1" applyFont="1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172" fontId="17" fillId="5" borderId="14" xfId="0" applyNumberFormat="1" applyFont="1" applyFill="1" applyBorder="1" applyAlignment="1">
      <alignment horizontal="center"/>
    </xf>
    <xf numFmtId="172" fontId="17" fillId="5" borderId="21" xfId="0" applyNumberFormat="1" applyFont="1" applyFill="1" applyBorder="1" applyAlignment="1">
      <alignment horizontal="centerContinuous"/>
    </xf>
    <xf numFmtId="0" fontId="0" fillId="5" borderId="40" xfId="0" applyFill="1" applyBorder="1" applyAlignment="1">
      <alignment horizontal="center"/>
    </xf>
    <xf numFmtId="0" fontId="0" fillId="5" borderId="33" xfId="0" applyFill="1" applyBorder="1"/>
    <xf numFmtId="172" fontId="17" fillId="5" borderId="44" xfId="0" applyNumberFormat="1" applyFont="1" applyFill="1" applyBorder="1" applyAlignment="1">
      <alignment horizontal="centerContinuous"/>
    </xf>
    <xf numFmtId="0" fontId="27" fillId="5" borderId="44" xfId="0" applyFont="1" applyFill="1" applyBorder="1" applyAlignment="1">
      <alignment horizontal="right"/>
    </xf>
    <xf numFmtId="0" fontId="0" fillId="5" borderId="41" xfId="0" applyFill="1" applyBorder="1" applyAlignment="1">
      <alignment horizontal="center"/>
    </xf>
    <xf numFmtId="172" fontId="17" fillId="5" borderId="44" xfId="0" applyNumberFormat="1" applyFont="1" applyFill="1" applyBorder="1" applyAlignment="1">
      <alignment horizontal="center"/>
    </xf>
    <xf numFmtId="172" fontId="17" fillId="5" borderId="45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/>
    <xf numFmtId="172" fontId="17" fillId="0" borderId="20" xfId="0" applyNumberFormat="1" applyFont="1" applyBorder="1" applyAlignment="1">
      <alignment horizontal="centerContinuous"/>
    </xf>
    <xf numFmtId="0" fontId="0" fillId="0" borderId="17" xfId="0" applyBorder="1" applyAlignment="1">
      <alignment horizontal="center"/>
    </xf>
    <xf numFmtId="172" fontId="17" fillId="0" borderId="20" xfId="0" applyNumberFormat="1" applyFont="1" applyBorder="1" applyAlignment="1">
      <alignment horizontal="center"/>
    </xf>
    <xf numFmtId="172" fontId="17" fillId="0" borderId="16" xfId="0" applyNumberFormat="1" applyFont="1" applyBorder="1" applyAlignment="1">
      <alignment horizontal="center"/>
    </xf>
    <xf numFmtId="0" fontId="49" fillId="4" borderId="8" xfId="0" applyFont="1" applyFill="1" applyBorder="1"/>
    <xf numFmtId="0" fontId="49" fillId="4" borderId="7" xfId="0" applyFont="1" applyFill="1" applyBorder="1"/>
    <xf numFmtId="0" fontId="0" fillId="0" borderId="6" xfId="0" applyBorder="1"/>
    <xf numFmtId="0" fontId="0" fillId="0" borderId="5" xfId="0" applyBorder="1"/>
    <xf numFmtId="0" fontId="53" fillId="0" borderId="0" xfId="0" applyFont="1" applyAlignment="1">
      <alignment horizontal="center" vertical="center"/>
    </xf>
    <xf numFmtId="0" fontId="54" fillId="0" borderId="5" xfId="0" applyFont="1" applyBorder="1" applyAlignment="1">
      <alignment horizontal="center" vertical="center"/>
    </xf>
    <xf numFmtId="0" fontId="17" fillId="0" borderId="6" xfId="0" applyFont="1" applyBorder="1"/>
    <xf numFmtId="0" fontId="55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left" indent="2"/>
    </xf>
    <xf numFmtId="172" fontId="16" fillId="0" borderId="0" xfId="0" applyNumberFormat="1" applyFont="1" applyAlignment="1">
      <alignment horizontal="center"/>
    </xf>
    <xf numFmtId="0" fontId="17" fillId="0" borderId="6" xfId="0" applyFont="1" applyBorder="1" applyAlignment="1">
      <alignment horizontal="left" indent="1"/>
    </xf>
    <xf numFmtId="0" fontId="27" fillId="0" borderId="6" xfId="0" applyFont="1" applyBorder="1"/>
    <xf numFmtId="0" fontId="0" fillId="0" borderId="4" xfId="0" applyBorder="1"/>
    <xf numFmtId="0" fontId="56" fillId="0" borderId="9" xfId="2" applyFont="1" applyBorder="1" applyAlignment="1">
      <alignment horizontal="centerContinuous"/>
    </xf>
    <xf numFmtId="0" fontId="14" fillId="0" borderId="8" xfId="2" applyFont="1" applyBorder="1" applyAlignment="1">
      <alignment horizontal="centerContinuous"/>
    </xf>
    <xf numFmtId="0" fontId="14" fillId="0" borderId="11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/>
    </xf>
    <xf numFmtId="0" fontId="38" fillId="0" borderId="6" xfId="2" applyBorder="1" applyAlignment="1">
      <alignment horizontal="center"/>
    </xf>
    <xf numFmtId="0" fontId="17" fillId="0" borderId="19" xfId="2" applyFont="1" applyBorder="1" applyAlignment="1">
      <alignment horizontal="center"/>
    </xf>
    <xf numFmtId="172" fontId="16" fillId="0" borderId="14" xfId="0" applyNumberFormat="1" applyFont="1" applyBorder="1" applyAlignment="1">
      <alignment horizontal="center"/>
    </xf>
    <xf numFmtId="0" fontId="38" fillId="5" borderId="27" xfId="2" applyFill="1" applyBorder="1" applyAlignment="1">
      <alignment horizontal="center"/>
    </xf>
    <xf numFmtId="0" fontId="17" fillId="5" borderId="28" xfId="2" applyFont="1" applyFill="1" applyBorder="1" applyAlignment="1">
      <alignment horizontal="center"/>
    </xf>
    <xf numFmtId="0" fontId="27" fillId="0" borderId="11" xfId="0" applyFont="1" applyBorder="1" applyAlignment="1">
      <alignment horizontal="left" vertical="center" wrapText="1"/>
    </xf>
    <xf numFmtId="0" fontId="27" fillId="0" borderId="34" xfId="0" applyFont="1" applyBorder="1" applyAlignment="1">
      <alignment horizontal="centerContinuous" vertical="center" wrapText="1"/>
    </xf>
    <xf numFmtId="0" fontId="27" fillId="0" borderId="18" xfId="0" applyFont="1" applyBorder="1" applyAlignment="1">
      <alignment horizontal="centerContinuous" vertical="center" wrapText="1"/>
    </xf>
    <xf numFmtId="0" fontId="27" fillId="0" borderId="15" xfId="0" applyFont="1" applyBorder="1" applyAlignment="1">
      <alignment horizontal="centerContinuous" vertical="center" wrapText="1"/>
    </xf>
    <xf numFmtId="0" fontId="27" fillId="0" borderId="1" xfId="0" applyFont="1" applyBorder="1" applyAlignment="1">
      <alignment horizontal="centerContinuous" vertical="center" wrapText="1"/>
    </xf>
    <xf numFmtId="0" fontId="27" fillId="0" borderId="10" xfId="0" applyFont="1" applyBorder="1" applyAlignment="1">
      <alignment horizontal="centerContinuous" vertical="center" wrapText="1"/>
    </xf>
    <xf numFmtId="0" fontId="17" fillId="0" borderId="21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1" fontId="17" fillId="0" borderId="19" xfId="0" applyNumberFormat="1" applyFont="1" applyBorder="1" applyAlignment="1">
      <alignment horizontal="center"/>
    </xf>
    <xf numFmtId="179" fontId="17" fillId="0" borderId="22" xfId="0" applyNumberFormat="1" applyFont="1" applyBorder="1" applyAlignment="1">
      <alignment horizontal="right"/>
    </xf>
    <xf numFmtId="179" fontId="17" fillId="0" borderId="14" xfId="0" applyNumberFormat="1" applyFont="1" applyBorder="1" applyAlignment="1">
      <alignment horizontal="right"/>
    </xf>
    <xf numFmtId="0" fontId="38" fillId="5" borderId="39" xfId="2" applyFill="1" applyBorder="1" applyAlignment="1">
      <alignment horizontal="left"/>
    </xf>
    <xf numFmtId="0" fontId="38" fillId="5" borderId="25" xfId="2" applyFill="1" applyBorder="1" applyAlignment="1">
      <alignment horizontal="center"/>
    </xf>
    <xf numFmtId="0" fontId="58" fillId="5" borderId="25" xfId="2" applyFont="1" applyFill="1" applyBorder="1" applyAlignment="1">
      <alignment horizontal="center"/>
    </xf>
    <xf numFmtId="179" fontId="38" fillId="5" borderId="26" xfId="2" applyNumberFormat="1" applyFill="1" applyBorder="1" applyAlignment="1">
      <alignment horizontal="right"/>
    </xf>
    <xf numFmtId="0" fontId="17" fillId="5" borderId="40" xfId="0" applyFont="1" applyFill="1" applyBorder="1"/>
    <xf numFmtId="0" fontId="17" fillId="5" borderId="44" xfId="0" applyFont="1" applyFill="1" applyBorder="1" applyAlignment="1">
      <alignment horizontal="center"/>
    </xf>
    <xf numFmtId="0" fontId="17" fillId="5" borderId="41" xfId="0" applyFont="1" applyFill="1" applyBorder="1" applyAlignment="1">
      <alignment horizontal="center"/>
    </xf>
    <xf numFmtId="1" fontId="17" fillId="5" borderId="41" xfId="0" applyNumberFormat="1" applyFont="1" applyFill="1" applyBorder="1" applyAlignment="1">
      <alignment horizontal="center"/>
    </xf>
    <xf numFmtId="179" fontId="17" fillId="5" borderId="45" xfId="0" applyNumberFormat="1" applyFont="1" applyFill="1" applyBorder="1" applyAlignment="1">
      <alignment horizontal="right"/>
    </xf>
    <xf numFmtId="0" fontId="17" fillId="5" borderId="42" xfId="0" applyFont="1" applyFill="1" applyBorder="1" applyAlignment="1">
      <alignment horizontal="center"/>
    </xf>
    <xf numFmtId="0" fontId="17" fillId="5" borderId="4" xfId="0" applyFont="1" applyFill="1" applyBorder="1"/>
    <xf numFmtId="0" fontId="17" fillId="5" borderId="20" xfId="0" applyFont="1" applyFill="1" applyBorder="1" applyAlignment="1">
      <alignment horizontal="center"/>
    </xf>
    <xf numFmtId="0" fontId="17" fillId="5" borderId="17" xfId="0" applyFont="1" applyFill="1" applyBorder="1" applyAlignment="1">
      <alignment horizontal="center"/>
    </xf>
    <xf numFmtId="1" fontId="17" fillId="5" borderId="17" xfId="0" applyNumberFormat="1" applyFont="1" applyFill="1" applyBorder="1" applyAlignment="1">
      <alignment horizontal="center"/>
    </xf>
    <xf numFmtId="179" fontId="17" fillId="5" borderId="16" xfId="0" applyNumberFormat="1" applyFont="1" applyFill="1" applyBorder="1" applyAlignment="1">
      <alignment horizontal="right"/>
    </xf>
    <xf numFmtId="0" fontId="17" fillId="5" borderId="36" xfId="0" applyFont="1" applyFill="1" applyBorder="1" applyAlignment="1">
      <alignment horizontal="center"/>
    </xf>
    <xf numFmtId="1" fontId="27" fillId="0" borderId="18" xfId="0" applyNumberFormat="1" applyFont="1" applyBorder="1" applyAlignment="1">
      <alignment horizontal="centerContinuous" vertical="center" wrapText="1"/>
    </xf>
    <xf numFmtId="0" fontId="17" fillId="0" borderId="6" xfId="0" applyFont="1" applyBorder="1" applyAlignment="1">
      <alignment horizontal="left"/>
    </xf>
    <xf numFmtId="179" fontId="0" fillId="0" borderId="5" xfId="0" applyNumberFormat="1" applyBorder="1"/>
    <xf numFmtId="179" fontId="17" fillId="0" borderId="5" xfId="0" applyNumberFormat="1" applyFont="1" applyBorder="1"/>
    <xf numFmtId="0" fontId="38" fillId="5" borderId="24" xfId="2" applyFill="1" applyBorder="1" applyAlignment="1">
      <alignment horizontal="left"/>
    </xf>
    <xf numFmtId="179" fontId="17" fillId="5" borderId="43" xfId="0" applyNumberFormat="1" applyFont="1" applyFill="1" applyBorder="1" applyAlignment="1">
      <alignment horizontal="right"/>
    </xf>
    <xf numFmtId="0" fontId="17" fillId="5" borderId="33" xfId="0" applyFont="1" applyFill="1" applyBorder="1" applyAlignment="1">
      <alignment horizontal="center"/>
    </xf>
    <xf numFmtId="0" fontId="17" fillId="5" borderId="3" xfId="0" applyFont="1" applyFill="1" applyBorder="1" applyAlignment="1">
      <alignment horizontal="center"/>
    </xf>
    <xf numFmtId="179" fontId="17" fillId="5" borderId="2" xfId="0" applyNumberFormat="1" applyFont="1" applyFill="1" applyBorder="1" applyAlignment="1">
      <alignment horizontal="right"/>
    </xf>
    <xf numFmtId="0" fontId="17" fillId="0" borderId="0" xfId="0" applyFont="1" applyAlignment="1">
      <alignment horizontal="left"/>
    </xf>
    <xf numFmtId="1" fontId="17" fillId="0" borderId="0" xfId="0" applyNumberFormat="1" applyFont="1"/>
    <xf numFmtId="0" fontId="17" fillId="0" borderId="0" xfId="0" applyFont="1" applyAlignment="1">
      <alignment horizontal="left" indent="1"/>
    </xf>
    <xf numFmtId="1" fontId="27" fillId="0" borderId="34" xfId="0" applyNumberFormat="1" applyFont="1" applyBorder="1" applyAlignment="1">
      <alignment horizontal="centerContinuous" vertical="center" wrapText="1"/>
    </xf>
    <xf numFmtId="0" fontId="0" fillId="0" borderId="0" xfId="0" applyAlignment="1">
      <alignment wrapText="1"/>
    </xf>
    <xf numFmtId="1" fontId="17" fillId="0" borderId="21" xfId="0" applyNumberFormat="1" applyFont="1" applyBorder="1" applyAlignment="1">
      <alignment horizontal="center"/>
    </xf>
    <xf numFmtId="179" fontId="0" fillId="0" borderId="14" xfId="0" applyNumberFormat="1" applyBorder="1"/>
    <xf numFmtId="0" fontId="38" fillId="5" borderId="35" xfId="2" applyFill="1" applyBorder="1" applyAlignment="1">
      <alignment horizontal="center"/>
    </xf>
    <xf numFmtId="0" fontId="58" fillId="5" borderId="35" xfId="2" applyFont="1" applyFill="1" applyBorder="1" applyAlignment="1">
      <alignment horizontal="center"/>
    </xf>
    <xf numFmtId="1" fontId="17" fillId="5" borderId="44" xfId="0" applyNumberFormat="1" applyFont="1" applyFill="1" applyBorder="1" applyAlignment="1">
      <alignment horizontal="center"/>
    </xf>
    <xf numFmtId="1" fontId="17" fillId="5" borderId="20" xfId="0" applyNumberFormat="1" applyFont="1" applyFill="1" applyBorder="1" applyAlignment="1">
      <alignment horizontal="center"/>
    </xf>
    <xf numFmtId="0" fontId="56" fillId="0" borderId="0" xfId="5" applyFont="1" applyAlignment="1">
      <alignment horizontal="centerContinuous" vertical="center"/>
    </xf>
    <xf numFmtId="0" fontId="56" fillId="0" borderId="5" xfId="5" applyFont="1" applyBorder="1" applyAlignment="1">
      <alignment horizontal="centerContinuous" vertical="center"/>
    </xf>
    <xf numFmtId="0" fontId="14" fillId="0" borderId="11" xfId="5" applyFont="1" applyBorder="1" applyAlignment="1">
      <alignment horizontal="center"/>
    </xf>
    <xf numFmtId="0" fontId="14" fillId="0" borderId="34" xfId="5" applyFont="1" applyBorder="1" applyAlignment="1">
      <alignment horizontal="center"/>
    </xf>
    <xf numFmtId="0" fontId="17" fillId="0" borderId="6" xfId="4" applyFont="1" applyBorder="1" applyAlignment="1">
      <alignment horizontal="center" vertical="center"/>
    </xf>
    <xf numFmtId="0" fontId="17" fillId="0" borderId="21" xfId="4" applyFont="1" applyBorder="1" applyAlignment="1">
      <alignment horizontal="center" vertical="center"/>
    </xf>
    <xf numFmtId="0" fontId="12" fillId="0" borderId="19" xfId="4" applyBorder="1" applyAlignment="1">
      <alignment horizontal="center" vertical="center"/>
    </xf>
    <xf numFmtId="179" fontId="17" fillId="0" borderId="21" xfId="0" applyNumberFormat="1" applyFont="1" applyBorder="1" applyAlignment="1">
      <alignment horizontal="center" vertical="center"/>
    </xf>
    <xf numFmtId="179" fontId="17" fillId="0" borderId="14" xfId="0" applyNumberFormat="1" applyFont="1" applyBorder="1" applyAlignment="1">
      <alignment horizontal="center" vertical="center"/>
    </xf>
    <xf numFmtId="0" fontId="17" fillId="5" borderId="27" xfId="4" applyFont="1" applyFill="1" applyBorder="1" applyAlignment="1">
      <alignment horizontal="center" vertical="center"/>
    </xf>
    <xf numFmtId="0" fontId="17" fillId="5" borderId="46" xfId="4" applyFont="1" applyFill="1" applyBorder="1" applyAlignment="1">
      <alignment horizontal="center" vertical="center"/>
    </xf>
    <xf numFmtId="0" fontId="12" fillId="5" borderId="28" xfId="4" applyFill="1" applyBorder="1" applyAlignment="1">
      <alignment horizontal="center" vertical="center"/>
    </xf>
    <xf numFmtId="179" fontId="17" fillId="5" borderId="28" xfId="2" applyNumberFormat="1" applyFont="1" applyFill="1" applyBorder="1" applyAlignment="1">
      <alignment horizontal="center" vertical="center"/>
    </xf>
    <xf numFmtId="179" fontId="17" fillId="5" borderId="29" xfId="2" applyNumberFormat="1" applyFont="1" applyFill="1" applyBorder="1" applyAlignment="1">
      <alignment horizontal="center" vertical="center"/>
    </xf>
    <xf numFmtId="179" fontId="17" fillId="5" borderId="46" xfId="2" applyNumberFormat="1" applyFont="1" applyFill="1" applyBorder="1" applyAlignment="1">
      <alignment horizontal="center" vertical="center"/>
    </xf>
    <xf numFmtId="0" fontId="17" fillId="5" borderId="30" xfId="4" applyFont="1" applyFill="1" applyBorder="1" applyAlignment="1">
      <alignment horizontal="center" vertical="center"/>
    </xf>
    <xf numFmtId="0" fontId="17" fillId="5" borderId="47" xfId="4" applyFont="1" applyFill="1" applyBorder="1" applyAlignment="1">
      <alignment horizontal="center" vertical="center"/>
    </xf>
    <xf numFmtId="0" fontId="12" fillId="5" borderId="31" xfId="4" applyFill="1" applyBorder="1" applyAlignment="1">
      <alignment horizontal="center" vertical="center"/>
    </xf>
    <xf numFmtId="179" fontId="17" fillId="5" borderId="47" xfId="2" applyNumberFormat="1" applyFont="1" applyFill="1" applyBorder="1" applyAlignment="1">
      <alignment horizontal="center" vertical="center"/>
    </xf>
    <xf numFmtId="179" fontId="17" fillId="5" borderId="32" xfId="2" applyNumberFormat="1" applyFont="1" applyFill="1" applyBorder="1" applyAlignment="1">
      <alignment horizontal="center" vertical="center"/>
    </xf>
    <xf numFmtId="0" fontId="12" fillId="0" borderId="0" xfId="0" applyFont="1"/>
    <xf numFmtId="178" fontId="14" fillId="0" borderId="18" xfId="0" applyNumberFormat="1" applyFont="1" applyBorder="1" applyAlignment="1">
      <alignment horizontal="center" vertical="center"/>
    </xf>
    <xf numFmtId="178" fontId="14" fillId="0" borderId="10" xfId="0" applyNumberFormat="1" applyFont="1" applyBorder="1" applyAlignment="1">
      <alignment horizontal="center" vertical="center"/>
    </xf>
    <xf numFmtId="172" fontId="17" fillId="0" borderId="53" xfId="0" applyNumberFormat="1" applyFont="1" applyBorder="1" applyAlignment="1">
      <alignment horizontal="center" vertical="center"/>
    </xf>
    <xf numFmtId="172" fontId="17" fillId="0" borderId="22" xfId="0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/>
    </xf>
    <xf numFmtId="172" fontId="16" fillId="0" borderId="41" xfId="0" applyNumberFormat="1" applyFont="1" applyBorder="1" applyAlignment="1">
      <alignment horizontal="center" vertical="center"/>
    </xf>
    <xf numFmtId="172" fontId="16" fillId="0" borderId="45" xfId="0" applyNumberFormat="1" applyFont="1" applyBorder="1" applyAlignment="1">
      <alignment horizontal="center" vertical="center"/>
    </xf>
    <xf numFmtId="172" fontId="17" fillId="5" borderId="25" xfId="0" applyNumberFormat="1" applyFont="1" applyFill="1" applyBorder="1" applyAlignment="1">
      <alignment horizontal="center" vertical="center"/>
    </xf>
    <xf numFmtId="172" fontId="17" fillId="5" borderId="26" xfId="0" applyNumberFormat="1" applyFont="1" applyFill="1" applyBorder="1" applyAlignment="1">
      <alignment horizontal="center" vertical="center"/>
    </xf>
    <xf numFmtId="0" fontId="17" fillId="5" borderId="40" xfId="0" applyFont="1" applyFill="1" applyBorder="1" applyAlignment="1">
      <alignment horizontal="center"/>
    </xf>
    <xf numFmtId="172" fontId="16" fillId="5" borderId="41" xfId="0" applyNumberFormat="1" applyFont="1" applyFill="1" applyBorder="1" applyAlignment="1">
      <alignment horizontal="center" vertical="center"/>
    </xf>
    <xf numFmtId="172" fontId="16" fillId="5" borderId="45" xfId="0" applyNumberFormat="1" applyFont="1" applyFill="1" applyBorder="1" applyAlignment="1">
      <alignment horizontal="center" vertical="center"/>
    </xf>
    <xf numFmtId="172" fontId="17" fillId="0" borderId="19" xfId="0" applyNumberFormat="1" applyFont="1" applyBorder="1" applyAlignment="1">
      <alignment horizontal="center" vertical="center"/>
    </xf>
    <xf numFmtId="172" fontId="17" fillId="0" borderId="14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/>
    </xf>
    <xf numFmtId="172" fontId="16" fillId="0" borderId="17" xfId="0" applyNumberFormat="1" applyFont="1" applyBorder="1" applyAlignment="1">
      <alignment horizontal="center" vertical="center"/>
    </xf>
    <xf numFmtId="172" fontId="16" fillId="0" borderId="16" xfId="0" applyNumberFormat="1" applyFont="1" applyBorder="1" applyAlignment="1">
      <alignment horizontal="center" vertical="center"/>
    </xf>
    <xf numFmtId="178" fontId="14" fillId="0" borderId="15" xfId="0" applyNumberFormat="1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172" fontId="16" fillId="0" borderId="22" xfId="0" applyNumberFormat="1" applyFont="1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5" borderId="48" xfId="0" applyFill="1" applyBorder="1" applyAlignment="1">
      <alignment horizontal="center" vertical="center"/>
    </xf>
    <xf numFmtId="0" fontId="0" fillId="5" borderId="53" xfId="0" applyFill="1" applyBorder="1" applyAlignment="1">
      <alignment horizontal="center" vertical="center"/>
    </xf>
    <xf numFmtId="172" fontId="16" fillId="5" borderId="53" xfId="0" applyNumberFormat="1" applyFont="1" applyFill="1" applyBorder="1" applyAlignment="1">
      <alignment horizontal="center"/>
    </xf>
    <xf numFmtId="172" fontId="16" fillId="5" borderId="22" xfId="0" applyNumberFormat="1" applyFont="1" applyFill="1" applyBorder="1" applyAlignment="1">
      <alignment horizontal="center"/>
    </xf>
    <xf numFmtId="0" fontId="17" fillId="5" borderId="54" xfId="0" applyFont="1" applyFill="1" applyBorder="1" applyAlignment="1">
      <alignment horizontal="center"/>
    </xf>
    <xf numFmtId="0" fontId="0" fillId="5" borderId="19" xfId="0" applyFill="1" applyBorder="1" applyAlignment="1">
      <alignment horizontal="center" vertical="center"/>
    </xf>
    <xf numFmtId="172" fontId="16" fillId="5" borderId="19" xfId="0" applyNumberFormat="1" applyFont="1" applyFill="1" applyBorder="1" applyAlignment="1">
      <alignment horizontal="center"/>
    </xf>
    <xf numFmtId="172" fontId="16" fillId="5" borderId="14" xfId="0" applyNumberFormat="1" applyFont="1" applyFill="1" applyBorder="1" applyAlignment="1">
      <alignment horizontal="center"/>
    </xf>
    <xf numFmtId="0" fontId="0" fillId="5" borderId="55" xfId="0" applyFill="1" applyBorder="1" applyAlignment="1">
      <alignment horizontal="center" vertical="center"/>
    </xf>
    <xf numFmtId="0" fontId="0" fillId="5" borderId="34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17" fillId="0" borderId="54" xfId="0" applyFont="1" applyBorder="1" applyAlignment="1">
      <alignment horizontal="center"/>
    </xf>
    <xf numFmtId="0" fontId="17" fillId="5" borderId="54" xfId="0" applyFont="1" applyFill="1" applyBorder="1" applyAlignment="1">
      <alignment horizontal="center" vertical="top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2" fontId="16" fillId="0" borderId="16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167" fontId="0" fillId="0" borderId="0" xfId="0" applyNumberFormat="1"/>
    <xf numFmtId="0" fontId="38" fillId="0" borderId="0" xfId="0" applyFont="1" applyAlignment="1">
      <alignment horizontal="center"/>
    </xf>
    <xf numFmtId="2" fontId="17" fillId="0" borderId="0" xfId="0" applyNumberFormat="1" applyFont="1" applyAlignment="1">
      <alignment horizontal="center"/>
    </xf>
    <xf numFmtId="181" fontId="17" fillId="0" borderId="21" xfId="0" applyNumberFormat="1" applyFont="1" applyBorder="1" applyAlignment="1">
      <alignment horizontal="center"/>
    </xf>
    <xf numFmtId="183" fontId="16" fillId="0" borderId="0" xfId="0" applyNumberFormat="1" applyFont="1"/>
    <xf numFmtId="184" fontId="17" fillId="5" borderId="21" xfId="0" applyNumberFormat="1" applyFont="1" applyFill="1" applyBorder="1" applyAlignment="1">
      <alignment horizontal="centerContinuous"/>
    </xf>
    <xf numFmtId="181" fontId="17" fillId="5" borderId="21" xfId="0" applyNumberFormat="1" applyFont="1" applyFill="1" applyBorder="1" applyAlignment="1">
      <alignment horizontal="center"/>
    </xf>
    <xf numFmtId="168" fontId="17" fillId="0" borderId="21" xfId="0" applyNumberFormat="1" applyFont="1" applyBorder="1" applyAlignment="1">
      <alignment horizontal="center"/>
    </xf>
    <xf numFmtId="168" fontId="17" fillId="5" borderId="21" xfId="0" applyNumberFormat="1" applyFont="1" applyFill="1" applyBorder="1" applyAlignment="1">
      <alignment horizontal="center"/>
    </xf>
    <xf numFmtId="184" fontId="17" fillId="0" borderId="21" xfId="0" applyNumberFormat="1" applyFont="1" applyBorder="1" applyAlignment="1">
      <alignment horizontal="centerContinuous"/>
    </xf>
    <xf numFmtId="2" fontId="16" fillId="2" borderId="57" xfId="0" applyNumberFormat="1" applyFont="1" applyFill="1" applyBorder="1" applyAlignment="1">
      <alignment horizontal="center"/>
    </xf>
    <xf numFmtId="169" fontId="16" fillId="0" borderId="0" xfId="0" applyNumberFormat="1" applyFont="1" applyAlignment="1">
      <alignment horizontal="center" vertical="center"/>
    </xf>
    <xf numFmtId="2" fontId="16" fillId="2" borderId="58" xfId="0" applyNumberFormat="1" applyFont="1" applyFill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5" fontId="16" fillId="0" borderId="1" xfId="0" applyNumberFormat="1" applyFont="1" applyBorder="1"/>
    <xf numFmtId="2" fontId="17" fillId="0" borderId="1" xfId="0" applyNumberFormat="1" applyFont="1" applyBorder="1" applyAlignment="1">
      <alignment horizontal="center"/>
    </xf>
    <xf numFmtId="0" fontId="17" fillId="0" borderId="21" xfId="0" applyFont="1" applyBorder="1" applyAlignment="1">
      <alignment horizontal="centerContinuous"/>
    </xf>
    <xf numFmtId="172" fontId="27" fillId="0" borderId="21" xfId="0" applyNumberFormat="1" applyFont="1" applyBorder="1" applyAlignment="1">
      <alignment horizontal="right"/>
    </xf>
    <xf numFmtId="172" fontId="27" fillId="5" borderId="35" xfId="0" applyNumberFormat="1" applyFont="1" applyFill="1" applyBorder="1" applyAlignment="1">
      <alignment horizontal="right"/>
    </xf>
    <xf numFmtId="0" fontId="17" fillId="5" borderId="21" xfId="0" applyFont="1" applyFill="1" applyBorder="1" applyAlignment="1">
      <alignment horizontal="centerContinuous"/>
    </xf>
    <xf numFmtId="172" fontId="27" fillId="5" borderId="44" xfId="0" applyNumberFormat="1" applyFont="1" applyFill="1" applyBorder="1" applyAlignment="1">
      <alignment horizontal="right"/>
    </xf>
    <xf numFmtId="0" fontId="14" fillId="0" borderId="14" xfId="0" applyFont="1" applyBorder="1" applyAlignment="1">
      <alignment horizontal="center"/>
    </xf>
    <xf numFmtId="165" fontId="16" fillId="0" borderId="0" xfId="0" applyNumberFormat="1" applyFont="1" applyAlignment="1">
      <alignment vertical="center"/>
    </xf>
    <xf numFmtId="166" fontId="16" fillId="0" borderId="0" xfId="0" applyNumberFormat="1" applyFont="1" applyAlignment="1">
      <alignment vertical="top"/>
    </xf>
    <xf numFmtId="165" fontId="16" fillId="0" borderId="0" xfId="0" applyNumberFormat="1" applyFont="1" applyAlignment="1">
      <alignment vertical="top"/>
    </xf>
    <xf numFmtId="0" fontId="14" fillId="0" borderId="18" xfId="0" applyFont="1" applyBorder="1" applyAlignment="1">
      <alignment horizontal="center" vertical="center"/>
    </xf>
    <xf numFmtId="0" fontId="17" fillId="5" borderId="28" xfId="0" applyFont="1" applyFill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7" fillId="5" borderId="27" xfId="0" applyFont="1" applyFill="1" applyBorder="1"/>
    <xf numFmtId="0" fontId="17" fillId="5" borderId="30" xfId="0" applyFont="1" applyFill="1" applyBorder="1"/>
    <xf numFmtId="0" fontId="17" fillId="5" borderId="31" xfId="0" applyFont="1" applyFill="1" applyBorder="1" applyAlignment="1">
      <alignment horizontal="center"/>
    </xf>
    <xf numFmtId="0" fontId="56" fillId="0" borderId="67" xfId="0" applyFont="1" applyBorder="1" applyAlignment="1">
      <alignment horizontal="centerContinuous"/>
    </xf>
    <xf numFmtId="0" fontId="14" fillId="0" borderId="49" xfId="0" applyFont="1" applyBorder="1" applyAlignment="1">
      <alignment horizontal="centerContinuous"/>
    </xf>
    <xf numFmtId="174" fontId="17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top"/>
    </xf>
    <xf numFmtId="1" fontId="0" fillId="0" borderId="0" xfId="0" applyNumberFormat="1" applyAlignment="1">
      <alignment horizontal="center" vertical="top"/>
    </xf>
    <xf numFmtId="1" fontId="16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72" fontId="17" fillId="5" borderId="23" xfId="0" applyNumberFormat="1" applyFont="1" applyFill="1" applyBorder="1" applyAlignment="1">
      <alignment horizontal="center"/>
    </xf>
    <xf numFmtId="172" fontId="17" fillId="5" borderId="33" xfId="0" applyNumberFormat="1" applyFont="1" applyFill="1" applyBorder="1" applyAlignment="1">
      <alignment horizontal="center"/>
    </xf>
    <xf numFmtId="172" fontId="17" fillId="0" borderId="0" xfId="0" applyNumberFormat="1" applyFont="1" applyAlignment="1">
      <alignment horizontal="center"/>
    </xf>
    <xf numFmtId="0" fontId="17" fillId="5" borderId="4" xfId="0" applyFont="1" applyFill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0" fillId="0" borderId="19" xfId="0" applyBorder="1"/>
    <xf numFmtId="0" fontId="59" fillId="5" borderId="24" xfId="0" applyFont="1" applyFill="1" applyBorder="1" applyAlignment="1">
      <alignment horizontal="center"/>
    </xf>
    <xf numFmtId="172" fontId="17" fillId="0" borderId="5" xfId="0" applyNumberFormat="1" applyFont="1" applyBorder="1" applyAlignment="1">
      <alignment horizontal="center"/>
    </xf>
    <xf numFmtId="172" fontId="17" fillId="5" borderId="37" xfId="0" applyNumberFormat="1" applyFont="1" applyFill="1" applyBorder="1" applyAlignment="1">
      <alignment horizontal="center"/>
    </xf>
    <xf numFmtId="172" fontId="17" fillId="5" borderId="43" xfId="0" applyNumberFormat="1" applyFont="1" applyFill="1" applyBorder="1" applyAlignment="1">
      <alignment horizontal="center"/>
    </xf>
    <xf numFmtId="172" fontId="17" fillId="5" borderId="5" xfId="0" applyNumberFormat="1" applyFont="1" applyFill="1" applyBorder="1" applyAlignment="1">
      <alignment horizontal="center"/>
    </xf>
    <xf numFmtId="0" fontId="60" fillId="0" borderId="0" xfId="0" applyFont="1"/>
    <xf numFmtId="0" fontId="39" fillId="0" borderId="0" xfId="2" applyFont="1" applyAlignment="1">
      <alignment horizontal="center"/>
    </xf>
    <xf numFmtId="0" fontId="62" fillId="0" borderId="0" xfId="0" applyFont="1"/>
    <xf numFmtId="185" fontId="16" fillId="0" borderId="0" xfId="2" applyNumberFormat="1" applyFont="1" applyAlignment="1">
      <alignment horizontal="center"/>
    </xf>
    <xf numFmtId="0" fontId="27" fillId="0" borderId="11" xfId="0" applyFont="1" applyBorder="1" applyAlignment="1">
      <alignment vertical="center"/>
    </xf>
    <xf numFmtId="0" fontId="14" fillId="0" borderId="10" xfId="0" applyFont="1" applyBorder="1" applyAlignment="1">
      <alignment horizontal="center"/>
    </xf>
    <xf numFmtId="0" fontId="27" fillId="0" borderId="18" xfId="0" applyFont="1" applyBorder="1" applyAlignment="1">
      <alignment horizontal="left" vertical="center"/>
    </xf>
    <xf numFmtId="0" fontId="17" fillId="0" borderId="19" xfId="0" applyFont="1" applyBorder="1"/>
    <xf numFmtId="0" fontId="17" fillId="5" borderId="28" xfId="0" applyFont="1" applyFill="1" applyBorder="1"/>
    <xf numFmtId="0" fontId="17" fillId="5" borderId="31" xfId="0" applyFont="1" applyFill="1" applyBorder="1"/>
    <xf numFmtId="0" fontId="63" fillId="0" borderId="64" xfId="0" applyFont="1" applyBorder="1" applyAlignment="1">
      <alignment horizontal="centerContinuous"/>
    </xf>
    <xf numFmtId="0" fontId="59" fillId="0" borderId="63" xfId="0" applyFont="1" applyBorder="1" applyAlignment="1">
      <alignment horizontal="centerContinuous"/>
    </xf>
    <xf numFmtId="0" fontId="27" fillId="0" borderId="21" xfId="0" applyFont="1" applyBorder="1" applyAlignment="1">
      <alignment horizontal="centerContinuous"/>
    </xf>
    <xf numFmtId="0" fontId="52" fillId="0" borderId="52" xfId="0" applyFont="1" applyBorder="1" applyAlignment="1">
      <alignment horizontal="centerContinuous"/>
    </xf>
    <xf numFmtId="0" fontId="27" fillId="0" borderId="0" xfId="0" applyFont="1" applyAlignment="1">
      <alignment horizontal="centerContinuous"/>
    </xf>
    <xf numFmtId="0" fontId="27" fillId="0" borderId="19" xfId="0" applyFont="1" applyBorder="1" applyAlignment="1">
      <alignment horizontal="centerContinuous"/>
    </xf>
    <xf numFmtId="0" fontId="27" fillId="0" borderId="5" xfId="0" applyFont="1" applyBorder="1" applyAlignment="1">
      <alignment horizontal="centerContinuous"/>
    </xf>
    <xf numFmtId="178" fontId="14" fillId="0" borderId="60" xfId="0" applyNumberFormat="1" applyFont="1" applyBorder="1" applyAlignment="1">
      <alignment horizontal="center" vertical="center"/>
    </xf>
    <xf numFmtId="178" fontId="14" fillId="0" borderId="51" xfId="0" applyNumberFormat="1" applyFont="1" applyBorder="1" applyAlignment="1">
      <alignment horizontal="center" vertical="center"/>
    </xf>
    <xf numFmtId="178" fontId="14" fillId="0" borderId="61" xfId="0" applyNumberFormat="1" applyFont="1" applyBorder="1" applyAlignment="1">
      <alignment horizontal="center" vertical="center"/>
    </xf>
    <xf numFmtId="178" fontId="14" fillId="0" borderId="59" xfId="0" applyNumberFormat="1" applyFont="1" applyBorder="1" applyAlignment="1">
      <alignment horizontal="center" vertical="center"/>
    </xf>
    <xf numFmtId="0" fontId="0" fillId="0" borderId="54" xfId="0" applyBorder="1" applyAlignment="1">
      <alignment horizontal="centerContinuous" vertical="center"/>
    </xf>
    <xf numFmtId="172" fontId="17" fillId="0" borderId="19" xfId="0" applyNumberFormat="1" applyFont="1" applyBorder="1" applyAlignment="1">
      <alignment horizontal="center"/>
    </xf>
    <xf numFmtId="168" fontId="17" fillId="0" borderId="19" xfId="0" applyNumberFormat="1" applyFont="1" applyBorder="1" applyAlignment="1">
      <alignment horizontal="center"/>
    </xf>
    <xf numFmtId="0" fontId="0" fillId="0" borderId="6" xfId="0" applyBorder="1" applyAlignment="1">
      <alignment horizontal="centerContinuous" vertical="center"/>
    </xf>
    <xf numFmtId="182" fontId="17" fillId="0" borderId="21" xfId="0" applyNumberFormat="1" applyFont="1" applyBorder="1" applyAlignment="1">
      <alignment horizontal="centerContinuous" vertical="top"/>
    </xf>
    <xf numFmtId="182" fontId="17" fillId="0" borderId="19" xfId="0" applyNumberFormat="1" applyFont="1" applyBorder="1" applyAlignment="1">
      <alignment horizontal="centerContinuous" vertical="top"/>
    </xf>
    <xf numFmtId="0" fontId="0" fillId="0" borderId="6" xfId="0" applyBorder="1" applyAlignment="1">
      <alignment vertical="top"/>
    </xf>
    <xf numFmtId="0" fontId="0" fillId="0" borderId="19" xfId="0" applyBorder="1" applyAlignment="1">
      <alignment horizontal="center" vertical="top"/>
    </xf>
    <xf numFmtId="0" fontId="0" fillId="0" borderId="21" xfId="0" applyBorder="1" applyAlignment="1">
      <alignment vertical="top"/>
    </xf>
    <xf numFmtId="0" fontId="17" fillId="0" borderId="19" xfId="0" applyFont="1" applyBorder="1" applyAlignment="1">
      <alignment vertical="top"/>
    </xf>
    <xf numFmtId="0" fontId="0" fillId="5" borderId="39" xfId="0" applyFill="1" applyBorder="1" applyAlignment="1">
      <alignment horizontal="centerContinuous" vertical="top"/>
    </xf>
    <xf numFmtId="0" fontId="0" fillId="5" borderId="23" xfId="0" applyFill="1" applyBorder="1" applyAlignment="1">
      <alignment horizontal="centerContinuous" vertical="top"/>
    </xf>
    <xf numFmtId="168" fontId="17" fillId="5" borderId="35" xfId="0" applyNumberFormat="1" applyFont="1" applyFill="1" applyBorder="1" applyAlignment="1">
      <alignment horizontal="center"/>
    </xf>
    <xf numFmtId="172" fontId="17" fillId="5" borderId="25" xfId="0" applyNumberFormat="1" applyFont="1" applyFill="1" applyBorder="1" applyAlignment="1">
      <alignment horizontal="center"/>
    </xf>
    <xf numFmtId="168" fontId="17" fillId="5" borderId="23" xfId="0" applyNumberFormat="1" applyFont="1" applyFill="1" applyBorder="1" applyAlignment="1">
      <alignment horizontal="center"/>
    </xf>
    <xf numFmtId="170" fontId="17" fillId="5" borderId="25" xfId="0" applyNumberFormat="1" applyFont="1" applyFill="1" applyBorder="1" applyAlignment="1">
      <alignment horizontal="center"/>
    </xf>
    <xf numFmtId="0" fontId="0" fillId="5" borderId="54" xfId="0" applyFill="1" applyBorder="1" applyAlignment="1">
      <alignment horizontal="centerContinuous" vertical="top"/>
    </xf>
    <xf numFmtId="0" fontId="0" fillId="5" borderId="21" xfId="0" applyFill="1" applyBorder="1" applyAlignment="1">
      <alignment horizontal="center" vertical="center"/>
    </xf>
    <xf numFmtId="182" fontId="17" fillId="5" borderId="19" xfId="0" applyNumberFormat="1" applyFont="1" applyFill="1" applyBorder="1" applyAlignment="1">
      <alignment horizontal="centerContinuous" vertical="top"/>
    </xf>
    <xf numFmtId="172" fontId="17" fillId="5" borderId="19" xfId="0" applyNumberFormat="1" applyFont="1" applyFill="1" applyBorder="1" applyAlignment="1">
      <alignment horizontal="center"/>
    </xf>
    <xf numFmtId="182" fontId="17" fillId="5" borderId="56" xfId="0" applyNumberFormat="1" applyFont="1" applyFill="1" applyBorder="1" applyAlignment="1">
      <alignment horizontal="centerContinuous" vertical="top"/>
    </xf>
    <xf numFmtId="0" fontId="0" fillId="5" borderId="40" xfId="0" applyFill="1" applyBorder="1" applyAlignment="1">
      <alignment horizontal="center" vertical="top"/>
    </xf>
    <xf numFmtId="0" fontId="0" fillId="5" borderId="33" xfId="0" applyFill="1" applyBorder="1" applyAlignment="1">
      <alignment horizontal="center" vertical="top"/>
    </xf>
    <xf numFmtId="0" fontId="0" fillId="5" borderId="44" xfId="0" applyFill="1" applyBorder="1" applyAlignment="1">
      <alignment horizontal="center" vertical="top"/>
    </xf>
    <xf numFmtId="0" fontId="0" fillId="5" borderId="41" xfId="0" applyFill="1" applyBorder="1" applyAlignment="1">
      <alignment vertical="top"/>
    </xf>
    <xf numFmtId="172" fontId="17" fillId="5" borderId="41" xfId="0" applyNumberFormat="1" applyFont="1" applyFill="1" applyBorder="1" applyAlignment="1">
      <alignment horizontal="center"/>
    </xf>
    <xf numFmtId="0" fontId="0" fillId="5" borderId="42" xfId="0" applyFill="1" applyBorder="1" applyAlignment="1">
      <alignment vertical="top"/>
    </xf>
    <xf numFmtId="0" fontId="0" fillId="0" borderId="21" xfId="0" applyBorder="1" applyAlignment="1">
      <alignment horizontal="center"/>
    </xf>
    <xf numFmtId="170" fontId="17" fillId="0" borderId="25" xfId="0" applyNumberFormat="1" applyFont="1" applyBorder="1" applyAlignment="1">
      <alignment horizontal="center"/>
    </xf>
    <xf numFmtId="0" fontId="0" fillId="0" borderId="56" xfId="0" applyBorder="1" applyAlignment="1">
      <alignment horizontal="centerContinuous" vertical="center"/>
    </xf>
    <xf numFmtId="0" fontId="0" fillId="0" borderId="21" xfId="0" applyBorder="1" applyAlignment="1">
      <alignment horizontal="center" vertical="center"/>
    </xf>
    <xf numFmtId="0" fontId="0" fillId="0" borderId="6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19" xfId="0" applyBorder="1" applyAlignment="1">
      <alignment vertical="top"/>
    </xf>
    <xf numFmtId="0" fontId="0" fillId="5" borderId="24" xfId="0" applyFill="1" applyBorder="1" applyAlignment="1">
      <alignment horizontal="centerContinuous" vertical="top"/>
    </xf>
    <xf numFmtId="0" fontId="0" fillId="5" borderId="6" xfId="0" applyFill="1" applyBorder="1" applyAlignment="1">
      <alignment horizontal="centerContinuous" vertical="top"/>
    </xf>
    <xf numFmtId="0" fontId="0" fillId="5" borderId="42" xfId="0" applyFill="1" applyBorder="1" applyAlignment="1">
      <alignment horizontal="center" vertical="top"/>
    </xf>
    <xf numFmtId="0" fontId="0" fillId="5" borderId="41" xfId="0" applyFill="1" applyBorder="1" applyAlignment="1">
      <alignment horizontal="center" vertical="top"/>
    </xf>
    <xf numFmtId="0" fontId="0" fillId="0" borderId="36" xfId="0" applyBorder="1"/>
    <xf numFmtId="0" fontId="0" fillId="0" borderId="17" xfId="0" applyBorder="1" applyAlignment="1">
      <alignment horizontal="center" vertical="top"/>
    </xf>
    <xf numFmtId="172" fontId="17" fillId="0" borderId="17" xfId="0" applyNumberFormat="1" applyFont="1" applyBorder="1" applyAlignment="1">
      <alignment horizontal="center"/>
    </xf>
    <xf numFmtId="0" fontId="30" fillId="5" borderId="25" xfId="0" applyFont="1" applyFill="1" applyBorder="1" applyAlignment="1">
      <alignment horizontal="center"/>
    </xf>
    <xf numFmtId="0" fontId="30" fillId="5" borderId="37" xfId="0" applyFont="1" applyFill="1" applyBorder="1" applyAlignment="1">
      <alignment horizontal="center"/>
    </xf>
    <xf numFmtId="0" fontId="17" fillId="0" borderId="76" xfId="0" applyFont="1" applyBorder="1" applyAlignment="1">
      <alignment horizontal="center"/>
    </xf>
    <xf numFmtId="0" fontId="17" fillId="0" borderId="9" xfId="0" applyFont="1" applyBorder="1"/>
    <xf numFmtId="0" fontId="17" fillId="0" borderId="77" xfId="0" applyFont="1" applyBorder="1" applyAlignment="1">
      <alignment horizontal="center"/>
    </xf>
    <xf numFmtId="0" fontId="17" fillId="0" borderId="4" xfId="0" applyFont="1" applyBorder="1"/>
    <xf numFmtId="0" fontId="17" fillId="0" borderId="17" xfId="0" applyFont="1" applyBorder="1" applyAlignment="1">
      <alignment horizontal="center"/>
    </xf>
    <xf numFmtId="0" fontId="17" fillId="5" borderId="72" xfId="0" applyFont="1" applyFill="1" applyBorder="1"/>
    <xf numFmtId="0" fontId="17" fillId="5" borderId="78" xfId="0" applyFont="1" applyFill="1" applyBorder="1" applyAlignment="1">
      <alignment horizontal="center"/>
    </xf>
    <xf numFmtId="0" fontId="17" fillId="5" borderId="24" xfId="0" applyFont="1" applyFill="1" applyBorder="1"/>
    <xf numFmtId="0" fontId="17" fillId="5" borderId="25" xfId="0" applyFont="1" applyFill="1" applyBorder="1" applyAlignment="1">
      <alignment horizontal="center"/>
    </xf>
    <xf numFmtId="0" fontId="64" fillId="0" borderId="0" xfId="0" applyFont="1"/>
    <xf numFmtId="2" fontId="16" fillId="0" borderId="1" xfId="0" applyNumberFormat="1" applyFont="1" applyBorder="1"/>
    <xf numFmtId="165" fontId="16" fillId="0" borderId="0" xfId="0" applyNumberFormat="1" applyFont="1" applyAlignment="1">
      <alignment horizontal="right"/>
    </xf>
    <xf numFmtId="185" fontId="16" fillId="0" borderId="0" xfId="0" applyNumberFormat="1" applyFont="1" applyAlignment="1">
      <alignment horizontal="right"/>
    </xf>
    <xf numFmtId="0" fontId="17" fillId="0" borderId="0" xfId="0" applyFont="1" applyAlignment="1">
      <alignment horizontal="centerContinuous" vertical="center"/>
    </xf>
    <xf numFmtId="0" fontId="27" fillId="0" borderId="0" xfId="0" applyFont="1" applyAlignment="1">
      <alignment horizontal="centerContinuous" vertical="center"/>
    </xf>
    <xf numFmtId="186" fontId="17" fillId="0" borderId="0" xfId="0" applyNumberFormat="1" applyFont="1" applyAlignment="1">
      <alignment horizontal="right"/>
    </xf>
    <xf numFmtId="185" fontId="17" fillId="0" borderId="0" xfId="0" applyNumberFormat="1" applyFont="1" applyAlignment="1">
      <alignment horizontal="right"/>
    </xf>
    <xf numFmtId="167" fontId="16" fillId="0" borderId="0" xfId="0" applyNumberFormat="1" applyFont="1" applyAlignment="1">
      <alignment horizontal="left"/>
    </xf>
    <xf numFmtId="174" fontId="16" fillId="0" borderId="0" xfId="0" applyNumberFormat="1" applyFont="1" applyAlignment="1">
      <alignment horizontal="left"/>
    </xf>
    <xf numFmtId="2" fontId="16" fillId="5" borderId="23" xfId="0" applyNumberFormat="1" applyFont="1" applyFill="1" applyBorder="1" applyAlignment="1">
      <alignment horizontal="left"/>
    </xf>
    <xf numFmtId="185" fontId="16" fillId="5" borderId="23" xfId="0" applyNumberFormat="1" applyFont="1" applyFill="1" applyBorder="1" applyAlignment="1">
      <alignment horizontal="right"/>
    </xf>
    <xf numFmtId="185" fontId="17" fillId="5" borderId="23" xfId="0" applyNumberFormat="1" applyFont="1" applyFill="1" applyBorder="1" applyAlignment="1">
      <alignment horizontal="right"/>
    </xf>
    <xf numFmtId="186" fontId="17" fillId="5" borderId="23" xfId="0" applyNumberFormat="1" applyFont="1" applyFill="1" applyBorder="1" applyAlignment="1">
      <alignment horizontal="right"/>
    </xf>
    <xf numFmtId="2" fontId="16" fillId="5" borderId="33" xfId="0" applyNumberFormat="1" applyFont="1" applyFill="1" applyBorder="1" applyAlignment="1">
      <alignment horizontal="left"/>
    </xf>
    <xf numFmtId="185" fontId="16" fillId="5" borderId="33" xfId="0" applyNumberFormat="1" applyFont="1" applyFill="1" applyBorder="1" applyAlignment="1">
      <alignment horizontal="right"/>
    </xf>
    <xf numFmtId="185" fontId="17" fillId="5" borderId="33" xfId="0" applyNumberFormat="1" applyFont="1" applyFill="1" applyBorder="1" applyAlignment="1">
      <alignment horizontal="right"/>
    </xf>
    <xf numFmtId="186" fontId="17" fillId="5" borderId="33" xfId="0" applyNumberFormat="1" applyFont="1" applyFill="1" applyBorder="1" applyAlignment="1">
      <alignment horizontal="right"/>
    </xf>
    <xf numFmtId="0" fontId="0" fillId="0" borderId="1" xfId="0" applyBorder="1" applyAlignment="1">
      <alignment horizontal="centerContinuous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11" fillId="0" borderId="1" xfId="0" applyFont="1" applyBorder="1" applyAlignment="1">
      <alignment horizontal="centerContinuous" vertical="center"/>
    </xf>
    <xf numFmtId="186" fontId="16" fillId="0" borderId="1" xfId="0" applyNumberFormat="1" applyFont="1" applyBorder="1" applyAlignment="1">
      <alignment horizontal="right" vertical="center"/>
    </xf>
    <xf numFmtId="185" fontId="17" fillId="0" borderId="64" xfId="0" applyNumberFormat="1" applyFont="1" applyBorder="1" applyAlignment="1">
      <alignment horizontal="right"/>
    </xf>
    <xf numFmtId="185" fontId="17" fillId="0" borderId="21" xfId="0" applyNumberFormat="1" applyFont="1" applyBorder="1" applyAlignment="1">
      <alignment horizontal="right"/>
    </xf>
    <xf numFmtId="185" fontId="17" fillId="5" borderId="35" xfId="0" applyNumberFormat="1" applyFont="1" applyFill="1" applyBorder="1" applyAlignment="1">
      <alignment horizontal="right"/>
    </xf>
    <xf numFmtId="185" fontId="17" fillId="5" borderId="44" xfId="0" applyNumberFormat="1" applyFont="1" applyFill="1" applyBorder="1" applyAlignment="1">
      <alignment horizontal="right"/>
    </xf>
    <xf numFmtId="186" fontId="17" fillId="0" borderId="63" xfId="0" applyNumberFormat="1" applyFont="1" applyBorder="1" applyAlignment="1">
      <alignment horizontal="right"/>
    </xf>
    <xf numFmtId="186" fontId="17" fillId="0" borderId="56" xfId="0" applyNumberFormat="1" applyFont="1" applyBorder="1" applyAlignment="1">
      <alignment horizontal="right"/>
    </xf>
    <xf numFmtId="186" fontId="17" fillId="5" borderId="79" xfId="0" applyNumberFormat="1" applyFont="1" applyFill="1" applyBorder="1" applyAlignment="1">
      <alignment horizontal="right"/>
    </xf>
    <xf numFmtId="186" fontId="17" fillId="5" borderId="42" xfId="0" applyNumberFormat="1" applyFont="1" applyFill="1" applyBorder="1" applyAlignment="1">
      <alignment horizontal="right"/>
    </xf>
    <xf numFmtId="186" fontId="16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centerContinuous" vertical="center"/>
    </xf>
    <xf numFmtId="9" fontId="16" fillId="0" borderId="0" xfId="3" applyFont="1" applyBorder="1" applyAlignment="1">
      <alignment horizontal="left"/>
    </xf>
    <xf numFmtId="185" fontId="16" fillId="0" borderId="64" xfId="0" applyNumberFormat="1" applyFont="1" applyBorder="1" applyAlignment="1">
      <alignment horizontal="right"/>
    </xf>
    <xf numFmtId="185" fontId="16" fillId="0" borderId="21" xfId="0" applyNumberFormat="1" applyFont="1" applyBorder="1" applyAlignment="1">
      <alignment horizontal="right"/>
    </xf>
    <xf numFmtId="185" fontId="16" fillId="5" borderId="35" xfId="0" applyNumberFormat="1" applyFont="1" applyFill="1" applyBorder="1" applyAlignment="1">
      <alignment horizontal="right"/>
    </xf>
    <xf numFmtId="185" fontId="16" fillId="5" borderId="44" xfId="0" applyNumberFormat="1" applyFont="1" applyFill="1" applyBorder="1" applyAlignment="1">
      <alignment horizontal="right"/>
    </xf>
    <xf numFmtId="166" fontId="16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5" borderId="39" xfId="2" applyFont="1" applyFill="1" applyBorder="1" applyAlignment="1">
      <alignment horizontal="left"/>
    </xf>
    <xf numFmtId="0" fontId="11" fillId="5" borderId="25" xfId="2" applyFont="1" applyFill="1" applyBorder="1" applyAlignment="1">
      <alignment horizontal="center"/>
    </xf>
    <xf numFmtId="166" fontId="16" fillId="0" borderId="0" xfId="0" applyNumberFormat="1" applyFont="1" applyAlignment="1">
      <alignment horizontal="center"/>
    </xf>
    <xf numFmtId="0" fontId="48" fillId="0" borderId="0" xfId="0" applyFont="1"/>
    <xf numFmtId="179" fontId="58" fillId="5" borderId="26" xfId="2" applyNumberFormat="1" applyFont="1" applyFill="1" applyBorder="1" applyAlignment="1">
      <alignment horizontal="right"/>
    </xf>
    <xf numFmtId="180" fontId="16" fillId="2" borderId="0" xfId="0" applyNumberFormat="1" applyFont="1" applyFill="1" applyAlignment="1">
      <alignment horizontal="left"/>
    </xf>
    <xf numFmtId="180" fontId="16" fillId="0" borderId="0" xfId="0" applyNumberFormat="1" applyFont="1" applyAlignment="1">
      <alignment horizontal="left"/>
    </xf>
    <xf numFmtId="180" fontId="17" fillId="0" borderId="0" xfId="0" applyNumberFormat="1" applyFont="1" applyAlignment="1">
      <alignment horizontal="left"/>
    </xf>
    <xf numFmtId="180" fontId="16" fillId="3" borderId="0" xfId="0" applyNumberFormat="1" applyFont="1" applyFill="1" applyAlignment="1">
      <alignment horizontal="left"/>
    </xf>
    <xf numFmtId="0" fontId="0" fillId="0" borderId="0" xfId="0" applyAlignment="1">
      <alignment horizontal="left" indent="1"/>
    </xf>
    <xf numFmtId="166" fontId="27" fillId="0" borderId="0" xfId="4" applyNumberFormat="1" applyFont="1" applyAlignment="1">
      <alignment horizontal="left"/>
    </xf>
    <xf numFmtId="0" fontId="10" fillId="0" borderId="0" xfId="2" applyFont="1"/>
    <xf numFmtId="0" fontId="61" fillId="0" borderId="0" xfId="4" applyFont="1"/>
    <xf numFmtId="0" fontId="66" fillId="0" borderId="0" xfId="4" applyFont="1" applyAlignment="1">
      <alignment vertical="center"/>
    </xf>
    <xf numFmtId="0" fontId="10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9" fontId="0" fillId="0" borderId="0" xfId="3" applyFont="1" applyAlignment="1">
      <alignment vertical="center"/>
    </xf>
    <xf numFmtId="0" fontId="38" fillId="0" borderId="0" xfId="2" applyAlignment="1">
      <alignment horizontal="center" vertical="center"/>
    </xf>
    <xf numFmtId="0" fontId="16" fillId="0" borderId="0" xfId="0" applyFont="1" applyAlignment="1">
      <alignment vertical="center"/>
    </xf>
    <xf numFmtId="0" fontId="10" fillId="0" borderId="0" xfId="0" applyFont="1"/>
    <xf numFmtId="0" fontId="27" fillId="0" borderId="0" xfId="0" applyFont="1"/>
    <xf numFmtId="0" fontId="10" fillId="0" borderId="0" xfId="0" applyFont="1" applyAlignment="1">
      <alignment horizontal="center"/>
    </xf>
    <xf numFmtId="0" fontId="0" fillId="0" borderId="0" xfId="4" applyFont="1"/>
    <xf numFmtId="0" fontId="0" fillId="8" borderId="12" xfId="0" applyFill="1" applyBorder="1" applyAlignment="1">
      <alignment horizontal="left"/>
    </xf>
    <xf numFmtId="0" fontId="10" fillId="0" borderId="0" xfId="2" applyFont="1" applyAlignment="1">
      <alignment horizontal="center"/>
    </xf>
    <xf numFmtId="2" fontId="17" fillId="0" borderId="0" xfId="0" applyNumberFormat="1" applyFont="1" applyAlignment="1">
      <alignment horizontal="left"/>
    </xf>
    <xf numFmtId="3" fontId="17" fillId="0" borderId="19" xfId="1" applyNumberFormat="1" applyFont="1" applyFill="1" applyBorder="1" applyAlignment="1">
      <alignment horizontal="center"/>
    </xf>
    <xf numFmtId="3" fontId="17" fillId="5" borderId="41" xfId="0" applyNumberFormat="1" applyFont="1" applyFill="1" applyBorder="1" applyAlignment="1">
      <alignment horizontal="center"/>
    </xf>
    <xf numFmtId="3" fontId="17" fillId="5" borderId="17" xfId="0" applyNumberFormat="1" applyFont="1" applyFill="1" applyBorder="1" applyAlignment="1">
      <alignment horizontal="center"/>
    </xf>
    <xf numFmtId="0" fontId="27" fillId="0" borderId="0" xfId="4" applyFont="1" applyAlignment="1">
      <alignment horizontal="center" vertical="center"/>
    </xf>
    <xf numFmtId="0" fontId="16" fillId="0" borderId="0" xfId="4" applyFont="1" applyAlignment="1">
      <alignment horizontal="center" vertical="center"/>
    </xf>
    <xf numFmtId="2" fontId="16" fillId="0" borderId="0" xfId="4" applyNumberFormat="1" applyFont="1" applyAlignment="1">
      <alignment horizontal="center" vertical="center"/>
    </xf>
    <xf numFmtId="0" fontId="17" fillId="0" borderId="0" xfId="4" applyFont="1" applyAlignment="1">
      <alignment horizontal="center" vertical="center"/>
    </xf>
    <xf numFmtId="0" fontId="16" fillId="0" borderId="0" xfId="4" applyFont="1" applyAlignment="1">
      <alignment horizontal="center"/>
    </xf>
    <xf numFmtId="0" fontId="17" fillId="0" borderId="0" xfId="4" applyFont="1" applyAlignment="1">
      <alignment horizontal="center"/>
    </xf>
    <xf numFmtId="177" fontId="12" fillId="0" borderId="0" xfId="4" applyNumberFormat="1" applyAlignment="1">
      <alignment horizontal="center"/>
    </xf>
    <xf numFmtId="166" fontId="12" fillId="0" borderId="0" xfId="4" applyNumberFormat="1" applyAlignment="1">
      <alignment horizontal="center"/>
    </xf>
    <xf numFmtId="177" fontId="17" fillId="0" borderId="0" xfId="4" applyNumberFormat="1" applyFont="1" applyAlignment="1">
      <alignment horizontal="center"/>
    </xf>
    <xf numFmtId="166" fontId="17" fillId="0" borderId="0" xfId="4" applyNumberFormat="1" applyFont="1" applyAlignment="1">
      <alignment horizontal="center"/>
    </xf>
    <xf numFmtId="0" fontId="12" fillId="0" borderId="0" xfId="4" applyAlignment="1">
      <alignment horizontal="center"/>
    </xf>
    <xf numFmtId="188" fontId="16" fillId="0" borderId="0" xfId="2" applyNumberFormat="1" applyFont="1" applyAlignment="1">
      <alignment horizontal="center"/>
    </xf>
    <xf numFmtId="0" fontId="11" fillId="0" borderId="34" xfId="0" applyFont="1" applyBorder="1" applyAlignment="1">
      <alignment horizontal="centerContinuous" vertical="center"/>
    </xf>
    <xf numFmtId="0" fontId="0" fillId="0" borderId="52" xfId="0" applyBorder="1" applyAlignment="1">
      <alignment horizontal="centerContinuous" vertical="center"/>
    </xf>
    <xf numFmtId="9" fontId="0" fillId="0" borderId="0" xfId="3" applyFont="1" applyAlignment="1"/>
    <xf numFmtId="0" fontId="9" fillId="0" borderId="0" xfId="2" applyFont="1" applyAlignment="1">
      <alignment horizontal="center"/>
    </xf>
    <xf numFmtId="0" fontId="9" fillId="0" borderId="0" xfId="2" applyFont="1"/>
    <xf numFmtId="187" fontId="0" fillId="0" borderId="0" xfId="0" applyNumberFormat="1"/>
    <xf numFmtId="0" fontId="0" fillId="0" borderId="0" xfId="0" applyAlignment="1">
      <alignment horizontal="left" vertical="center" wrapText="1"/>
    </xf>
    <xf numFmtId="0" fontId="9" fillId="0" borderId="0" xfId="2" applyFont="1" applyAlignment="1">
      <alignment vertical="center"/>
    </xf>
    <xf numFmtId="0" fontId="14" fillId="0" borderId="15" xfId="0" applyFont="1" applyBorder="1" applyAlignment="1">
      <alignment horizontal="center"/>
    </xf>
    <xf numFmtId="0" fontId="14" fillId="0" borderId="11" xfId="0" applyFont="1" applyBorder="1" applyAlignment="1">
      <alignment horizontal="left"/>
    </xf>
    <xf numFmtId="0" fontId="14" fillId="0" borderId="34" xfId="0" applyFont="1" applyBorder="1"/>
    <xf numFmtId="179" fontId="0" fillId="0" borderId="2" xfId="0" applyNumberFormat="1" applyBorder="1"/>
    <xf numFmtId="0" fontId="17" fillId="0" borderId="53" xfId="0" applyFont="1" applyBorder="1" applyAlignment="1">
      <alignment horizontal="left"/>
    </xf>
    <xf numFmtId="0" fontId="17" fillId="0" borderId="19" xfId="0" applyFont="1" applyBorder="1" applyAlignment="1">
      <alignment horizontal="left"/>
    </xf>
    <xf numFmtId="0" fontId="0" fillId="0" borderId="17" xfId="0" applyBorder="1"/>
    <xf numFmtId="0" fontId="0" fillId="0" borderId="0" xfId="4" applyFont="1" applyAlignment="1">
      <alignment horizontal="left"/>
    </xf>
    <xf numFmtId="179" fontId="0" fillId="5" borderId="65" xfId="0" applyNumberFormat="1" applyFill="1" applyBorder="1"/>
    <xf numFmtId="179" fontId="0" fillId="5" borderId="66" xfId="0" applyNumberFormat="1" applyFill="1" applyBorder="1"/>
    <xf numFmtId="0" fontId="27" fillId="0" borderId="19" xfId="0" applyFont="1" applyBorder="1" applyAlignment="1">
      <alignment horizontal="centerContinuous" vertical="center"/>
    </xf>
    <xf numFmtId="0" fontId="17" fillId="0" borderId="74" xfId="0" applyFont="1" applyBorder="1"/>
    <xf numFmtId="0" fontId="14" fillId="0" borderId="34" xfId="5" applyFont="1" applyBorder="1" applyAlignment="1">
      <alignment horizontal="center" vertical="center"/>
    </xf>
    <xf numFmtId="0" fontId="56" fillId="0" borderId="0" xfId="0" applyFont="1" applyAlignment="1">
      <alignment horizontal="centerContinuous"/>
    </xf>
    <xf numFmtId="185" fontId="17" fillId="0" borderId="0" xfId="2" applyNumberFormat="1" applyFont="1" applyAlignment="1">
      <alignment horizontal="right"/>
    </xf>
    <xf numFmtId="0" fontId="67" fillId="0" borderId="0" xfId="0" applyFont="1"/>
    <xf numFmtId="0" fontId="68" fillId="0" borderId="0" xfId="0" applyFont="1"/>
    <xf numFmtId="0" fontId="10" fillId="0" borderId="0" xfId="2" applyFont="1" applyAlignment="1">
      <alignment horizontal="left" vertical="center" indent="1"/>
    </xf>
    <xf numFmtId="0" fontId="67" fillId="0" borderId="0" xfId="0" applyFont="1" applyAlignment="1">
      <alignment horizontal="left"/>
    </xf>
    <xf numFmtId="0" fontId="67" fillId="0" borderId="0" xfId="0" applyFont="1" applyAlignment="1">
      <alignment vertical="center"/>
    </xf>
    <xf numFmtId="0" fontId="67" fillId="0" borderId="0" xfId="0" applyFont="1" applyAlignment="1">
      <alignment vertical="top"/>
    </xf>
    <xf numFmtId="0" fontId="56" fillId="0" borderId="21" xfId="0" applyFont="1" applyBorder="1" applyAlignment="1">
      <alignment horizontal="centerContinuous"/>
    </xf>
    <xf numFmtId="0" fontId="27" fillId="0" borderId="21" xfId="0" applyFont="1" applyBorder="1" applyAlignment="1">
      <alignment horizontal="centerContinuous" vertical="center"/>
    </xf>
    <xf numFmtId="0" fontId="19" fillId="0" borderId="0" xfId="0" applyFont="1" applyAlignment="1">
      <alignment vertical="center"/>
    </xf>
    <xf numFmtId="0" fontId="56" fillId="0" borderId="21" xfId="5" applyFont="1" applyBorder="1" applyAlignment="1">
      <alignment horizontal="centerContinuous"/>
    </xf>
    <xf numFmtId="0" fontId="56" fillId="0" borderId="6" xfId="5" applyFont="1" applyBorder="1" applyAlignment="1">
      <alignment horizontal="centerContinuous"/>
    </xf>
    <xf numFmtId="0" fontId="14" fillId="0" borderId="11" xfId="5" applyFont="1" applyBorder="1" applyAlignment="1">
      <alignment horizontal="center" vertical="center"/>
    </xf>
    <xf numFmtId="0" fontId="27" fillId="0" borderId="34" xfId="4" applyFont="1" applyBorder="1" applyAlignment="1">
      <alignment horizontal="center"/>
    </xf>
    <xf numFmtId="0" fontId="27" fillId="0" borderId="15" xfId="4" applyFont="1" applyBorder="1" applyAlignment="1">
      <alignment horizontal="center"/>
    </xf>
    <xf numFmtId="0" fontId="35" fillId="0" borderId="0" xfId="0" applyFont="1" applyAlignment="1">
      <alignment horizontal="left"/>
    </xf>
    <xf numFmtId="0" fontId="70" fillId="0" borderId="0" xfId="0" applyFont="1" applyAlignment="1">
      <alignment horizontal="left" vertical="center" readingOrder="1"/>
    </xf>
    <xf numFmtId="0" fontId="44" fillId="0" borderId="0" xfId="0" applyFont="1"/>
    <xf numFmtId="0" fontId="33" fillId="0" borderId="0" xfId="0" applyFont="1"/>
    <xf numFmtId="0" fontId="33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165" fontId="17" fillId="0" borderId="0" xfId="0" applyNumberFormat="1" applyFont="1" applyAlignment="1">
      <alignment horizontal="left"/>
    </xf>
    <xf numFmtId="0" fontId="71" fillId="0" borderId="0" xfId="0" applyFont="1" applyAlignment="1">
      <alignment vertical="center"/>
    </xf>
    <xf numFmtId="0" fontId="65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185" fontId="72" fillId="0" borderId="0" xfId="0" applyNumberFormat="1" applyFont="1" applyAlignment="1">
      <alignment horizontal="left" vertical="center"/>
    </xf>
    <xf numFmtId="2" fontId="12" fillId="0" borderId="0" xfId="2" applyNumberFormat="1" applyFont="1" applyAlignment="1">
      <alignment horizontal="center"/>
    </xf>
    <xf numFmtId="167" fontId="16" fillId="9" borderId="12" xfId="2" applyNumberFormat="1" applyFont="1" applyFill="1" applyBorder="1" applyAlignment="1">
      <alignment horizontal="center"/>
    </xf>
    <xf numFmtId="174" fontId="16" fillId="9" borderId="12" xfId="2" applyNumberFormat="1" applyFont="1" applyFill="1" applyBorder="1" applyAlignment="1">
      <alignment horizontal="center"/>
    </xf>
    <xf numFmtId="183" fontId="16" fillId="9" borderId="12" xfId="2" applyNumberFormat="1" applyFont="1" applyFill="1" applyBorder="1" applyAlignment="1">
      <alignment horizontal="center"/>
    </xf>
    <xf numFmtId="2" fontId="16" fillId="9" borderId="12" xfId="2" applyNumberFormat="1" applyFont="1" applyFill="1" applyBorder="1" applyAlignment="1">
      <alignment horizontal="center"/>
    </xf>
    <xf numFmtId="190" fontId="16" fillId="0" borderId="0" xfId="2" applyNumberFormat="1" applyFont="1" applyAlignment="1">
      <alignment horizontal="center"/>
    </xf>
    <xf numFmtId="2" fontId="16" fillId="10" borderId="12" xfId="2" applyNumberFormat="1" applyFont="1" applyFill="1" applyBorder="1" applyAlignment="1">
      <alignment horizontal="center"/>
    </xf>
    <xf numFmtId="0" fontId="7" fillId="0" borderId="0" xfId="2" applyFont="1"/>
    <xf numFmtId="0" fontId="58" fillId="0" borderId="0" xfId="2" applyFont="1"/>
    <xf numFmtId="0" fontId="73" fillId="0" borderId="0" xfId="2" applyFont="1"/>
    <xf numFmtId="172" fontId="17" fillId="5" borderId="29" xfId="0" applyNumberFormat="1" applyFont="1" applyFill="1" applyBorder="1" applyAlignment="1">
      <alignment horizontal="center"/>
    </xf>
    <xf numFmtId="0" fontId="7" fillId="0" borderId="0" xfId="2" applyFont="1" applyAlignment="1">
      <alignment horizontal="left"/>
    </xf>
    <xf numFmtId="0" fontId="14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6" fillId="0" borderId="0" xfId="0" applyFont="1"/>
    <xf numFmtId="0" fontId="6" fillId="0" borderId="0" xfId="2" applyFont="1" applyAlignment="1">
      <alignment horizontal="left"/>
    </xf>
    <xf numFmtId="0" fontId="6" fillId="0" borderId="0" xfId="2" applyFont="1" applyAlignment="1">
      <alignment vertical="center"/>
    </xf>
    <xf numFmtId="0" fontId="6" fillId="0" borderId="0" xfId="2" applyFont="1"/>
    <xf numFmtId="186" fontId="16" fillId="0" borderId="0" xfId="0" applyNumberFormat="1" applyFont="1" applyAlignment="1">
      <alignment horizontal="right"/>
    </xf>
    <xf numFmtId="191" fontId="16" fillId="0" borderId="0" xfId="0" applyNumberFormat="1" applyFont="1" applyAlignment="1">
      <alignment horizontal="center"/>
    </xf>
    <xf numFmtId="179" fontId="16" fillId="0" borderId="56" xfId="0" applyNumberFormat="1" applyFont="1" applyBorder="1" applyAlignment="1">
      <alignment horizontal="center"/>
    </xf>
    <xf numFmtId="179" fontId="16" fillId="0" borderId="52" xfId="0" applyNumberFormat="1" applyFont="1" applyBorder="1" applyAlignment="1">
      <alignment horizontal="center"/>
    </xf>
    <xf numFmtId="0" fontId="14" fillId="0" borderId="51" xfId="0" applyFont="1" applyBorder="1" applyAlignment="1">
      <alignment horizontal="center"/>
    </xf>
    <xf numFmtId="2" fontId="17" fillId="0" borderId="0" xfId="4" applyNumberFormat="1" applyFont="1" applyAlignment="1">
      <alignment horizontal="center" vertical="center"/>
    </xf>
    <xf numFmtId="166" fontId="16" fillId="9" borderId="12" xfId="2" applyNumberFormat="1" applyFont="1" applyFill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6" fillId="0" borderId="0" xfId="0" applyFont="1" applyAlignment="1">
      <alignment horizontal="left" wrapText="1"/>
    </xf>
    <xf numFmtId="0" fontId="0" fillId="0" borderId="21" xfId="0" applyBorder="1"/>
    <xf numFmtId="0" fontId="40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40" fillId="0" borderId="0" xfId="0" applyFont="1" applyAlignment="1">
      <alignment horizontal="center"/>
    </xf>
    <xf numFmtId="39" fontId="38" fillId="0" borderId="0" xfId="2" applyNumberFormat="1" applyAlignment="1">
      <alignment horizontal="center"/>
    </xf>
    <xf numFmtId="9" fontId="23" fillId="9" borderId="12" xfId="3" applyFont="1" applyFill="1" applyBorder="1" applyAlignment="1">
      <alignment horizontal="center"/>
    </xf>
    <xf numFmtId="174" fontId="16" fillId="2" borderId="0" xfId="0" applyNumberFormat="1" applyFont="1" applyFill="1" applyAlignment="1">
      <alignment horizontal="center"/>
    </xf>
    <xf numFmtId="177" fontId="16" fillId="0" borderId="0" xfId="0" applyNumberFormat="1" applyFont="1" applyAlignment="1">
      <alignment horizontal="center"/>
    </xf>
    <xf numFmtId="177" fontId="17" fillId="0" borderId="0" xfId="0" applyNumberFormat="1" applyFont="1" applyAlignment="1">
      <alignment horizontal="center"/>
    </xf>
    <xf numFmtId="177" fontId="16" fillId="2" borderId="0" xfId="0" applyNumberFormat="1" applyFont="1" applyFill="1" applyAlignment="1">
      <alignment horizontal="center"/>
    </xf>
    <xf numFmtId="0" fontId="74" fillId="0" borderId="0" xfId="0" applyFont="1" applyAlignment="1">
      <alignment horizontal="center"/>
    </xf>
    <xf numFmtId="172" fontId="17" fillId="5" borderId="65" xfId="0" applyNumberFormat="1" applyFont="1" applyFill="1" applyBorder="1" applyAlignment="1">
      <alignment horizontal="center"/>
    </xf>
    <xf numFmtId="172" fontId="17" fillId="5" borderId="66" xfId="0" applyNumberFormat="1" applyFont="1" applyFill="1" applyBorder="1" applyAlignment="1">
      <alignment horizontal="center"/>
    </xf>
    <xf numFmtId="0" fontId="5" fillId="0" borderId="0" xfId="2" applyFont="1"/>
    <xf numFmtId="9" fontId="5" fillId="0" borderId="0" xfId="3" applyFont="1"/>
    <xf numFmtId="0" fontId="5" fillId="0" borderId="34" xfId="0" applyFont="1" applyBorder="1" applyAlignment="1">
      <alignment horizontal="centerContinuous" vertical="center"/>
    </xf>
    <xf numFmtId="0" fontId="14" fillId="0" borderId="1" xfId="0" applyFont="1" applyBorder="1" applyAlignment="1">
      <alignment horizontal="centerContinuous"/>
    </xf>
    <xf numFmtId="186" fontId="17" fillId="0" borderId="21" xfId="0" applyNumberFormat="1" applyFont="1" applyBorder="1" applyAlignment="1">
      <alignment horizontal="right"/>
    </xf>
    <xf numFmtId="192" fontId="17" fillId="0" borderId="21" xfId="0" applyNumberFormat="1" applyFont="1" applyBorder="1" applyAlignment="1">
      <alignment horizontal="right"/>
    </xf>
    <xf numFmtId="192" fontId="0" fillId="0" borderId="0" xfId="0" applyNumberFormat="1"/>
    <xf numFmtId="0" fontId="16" fillId="0" borderId="0" xfId="0" quotePrefix="1" applyFont="1"/>
    <xf numFmtId="0" fontId="53" fillId="0" borderId="0" xfId="0" applyFont="1"/>
    <xf numFmtId="167" fontId="16" fillId="0" borderId="0" xfId="2" applyNumberFormat="1" applyFont="1" applyAlignment="1">
      <alignment horizontal="left"/>
    </xf>
    <xf numFmtId="9" fontId="0" fillId="0" borderId="0" xfId="3" applyFont="1" applyAlignment="1">
      <alignment horizontal="left"/>
    </xf>
    <xf numFmtId="2" fontId="16" fillId="0" borderId="0" xfId="2" applyNumberFormat="1" applyFont="1" applyAlignment="1">
      <alignment horizontal="left"/>
    </xf>
    <xf numFmtId="165" fontId="16" fillId="0" borderId="0" xfId="0" applyNumberFormat="1" applyFont="1" applyAlignment="1">
      <alignment horizontal="left" vertical="top"/>
    </xf>
    <xf numFmtId="166" fontId="16" fillId="0" borderId="0" xfId="0" applyNumberFormat="1" applyFont="1" applyAlignment="1">
      <alignment horizontal="left" vertical="top"/>
    </xf>
    <xf numFmtId="0" fontId="14" fillId="0" borderId="60" xfId="0" applyFont="1" applyBorder="1" applyAlignment="1">
      <alignment horizontal="centerContinuous" vertical="center"/>
    </xf>
    <xf numFmtId="178" fontId="14" fillId="0" borderId="70" xfId="0" applyNumberFormat="1" applyFont="1" applyBorder="1" applyAlignment="1">
      <alignment horizontal="centerContinuous" vertical="center"/>
    </xf>
    <xf numFmtId="0" fontId="14" fillId="0" borderId="59" xfId="0" applyFont="1" applyBorder="1" applyAlignment="1">
      <alignment horizontal="centerContinuous" vertical="center"/>
    </xf>
    <xf numFmtId="178" fontId="14" fillId="0" borderId="34" xfId="0" applyNumberFormat="1" applyFont="1" applyBorder="1" applyAlignment="1">
      <alignment horizontal="center" vertical="center"/>
    </xf>
    <xf numFmtId="178" fontId="14" fillId="0" borderId="71" xfId="0" applyNumberFormat="1" applyFont="1" applyBorder="1" applyAlignment="1">
      <alignment horizontal="center" vertical="center"/>
    </xf>
    <xf numFmtId="0" fontId="0" fillId="0" borderId="53" xfId="0" applyBorder="1" applyAlignment="1">
      <alignment horizontal="center"/>
    </xf>
    <xf numFmtId="172" fontId="0" fillId="0" borderId="0" xfId="0" applyNumberFormat="1" applyAlignment="1">
      <alignment horizontal="center"/>
    </xf>
    <xf numFmtId="172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172" fontId="0" fillId="5" borderId="37" xfId="0" applyNumberFormat="1" applyFill="1" applyBorder="1" applyAlignment="1">
      <alignment horizontal="center"/>
    </xf>
    <xf numFmtId="172" fontId="0" fillId="5" borderId="43" xfId="0" applyNumberFormat="1" applyFill="1" applyBorder="1" applyAlignment="1">
      <alignment horizontal="center"/>
    </xf>
    <xf numFmtId="166" fontId="0" fillId="5" borderId="25" xfId="0" applyNumberFormat="1" applyFill="1" applyBorder="1" applyAlignment="1">
      <alignment horizontal="center"/>
    </xf>
    <xf numFmtId="166" fontId="0" fillId="5" borderId="41" xfId="0" applyNumberFormat="1" applyFill="1" applyBorder="1" applyAlignment="1">
      <alignment horizontal="center"/>
    </xf>
    <xf numFmtId="0" fontId="0" fillId="5" borderId="17" xfId="0" applyFill="1" applyBorder="1"/>
    <xf numFmtId="172" fontId="0" fillId="5" borderId="3" xfId="0" applyNumberFormat="1" applyFill="1" applyBorder="1"/>
    <xf numFmtId="172" fontId="0" fillId="5" borderId="2" xfId="0" applyNumberForma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4" xfId="0" applyFill="1" applyBorder="1" applyAlignment="1">
      <alignment horizontal="center" vertical="top"/>
    </xf>
    <xf numFmtId="0" fontId="0" fillId="5" borderId="17" xfId="0" applyFill="1" applyBorder="1" applyAlignment="1">
      <alignment vertical="top"/>
    </xf>
    <xf numFmtId="0" fontId="0" fillId="5" borderId="2" xfId="0" applyFill="1" applyBorder="1" applyAlignment="1">
      <alignment vertical="top"/>
    </xf>
    <xf numFmtId="185" fontId="16" fillId="0" borderId="56" xfId="0" applyNumberFormat="1" applyFont="1" applyBorder="1" applyAlignment="1">
      <alignment horizontal="right"/>
    </xf>
    <xf numFmtId="0" fontId="0" fillId="0" borderId="56" xfId="0" applyBorder="1"/>
    <xf numFmtId="186" fontId="16" fillId="9" borderId="12" xfId="0" applyNumberFormat="1" applyFont="1" applyFill="1" applyBorder="1" applyAlignment="1">
      <alignment horizontal="right" vertical="center"/>
    </xf>
    <xf numFmtId="192" fontId="17" fillId="0" borderId="19" xfId="0" applyNumberFormat="1" applyFont="1" applyBorder="1" applyAlignment="1">
      <alignment horizontal="right"/>
    </xf>
    <xf numFmtId="192" fontId="16" fillId="0" borderId="19" xfId="0" applyNumberFormat="1" applyFont="1" applyBorder="1" applyAlignment="1">
      <alignment horizontal="right"/>
    </xf>
    <xf numFmtId="192" fontId="16" fillId="0" borderId="0" xfId="0" applyNumberFormat="1" applyFont="1" applyAlignment="1">
      <alignment horizontal="right"/>
    </xf>
    <xf numFmtId="192" fontId="0" fillId="0" borderId="0" xfId="0" applyNumberFormat="1" applyAlignment="1">
      <alignment vertical="top"/>
    </xf>
    <xf numFmtId="186" fontId="17" fillId="0" borderId="0" xfId="0" applyNumberFormat="1" applyFont="1" applyAlignment="1">
      <alignment horizontal="right" vertical="center"/>
    </xf>
    <xf numFmtId="0" fontId="75" fillId="0" borderId="0" xfId="0" applyFont="1"/>
    <xf numFmtId="0" fontId="19" fillId="0" borderId="1" xfId="0" applyFont="1" applyBorder="1" applyAlignment="1">
      <alignment vertical="center" wrapText="1"/>
    </xf>
    <xf numFmtId="39" fontId="0" fillId="0" borderId="0" xfId="0" applyNumberFormat="1"/>
    <xf numFmtId="2" fontId="16" fillId="0" borderId="0" xfId="0" applyNumberFormat="1" applyFont="1" applyAlignment="1">
      <alignment horizontal="right"/>
    </xf>
    <xf numFmtId="2" fontId="17" fillId="0" borderId="0" xfId="0" applyNumberFormat="1" applyFont="1" applyAlignment="1">
      <alignment horizontal="right"/>
    </xf>
    <xf numFmtId="0" fontId="17" fillId="0" borderId="0" xfId="0" applyFont="1" applyAlignment="1">
      <alignment horizontal="right"/>
    </xf>
    <xf numFmtId="183" fontId="16" fillId="0" borderId="1" xfId="0" applyNumberFormat="1" applyFont="1" applyBorder="1"/>
    <xf numFmtId="179" fontId="17" fillId="0" borderId="75" xfId="0" applyNumberFormat="1" applyFont="1" applyBorder="1"/>
    <xf numFmtId="179" fontId="17" fillId="5" borderId="65" xfId="0" applyNumberFormat="1" applyFont="1" applyFill="1" applyBorder="1"/>
    <xf numFmtId="179" fontId="17" fillId="5" borderId="66" xfId="0" applyNumberFormat="1" applyFont="1" applyFill="1" applyBorder="1"/>
    <xf numFmtId="179" fontId="17" fillId="0" borderId="7" xfId="0" applyNumberFormat="1" applyFont="1" applyBorder="1"/>
    <xf numFmtId="179" fontId="17" fillId="0" borderId="2" xfId="0" applyNumberFormat="1" applyFont="1" applyBorder="1"/>
    <xf numFmtId="179" fontId="17" fillId="5" borderId="73" xfId="0" applyNumberFormat="1" applyFont="1" applyFill="1" applyBorder="1"/>
    <xf numFmtId="179" fontId="17" fillId="5" borderId="43" xfId="0" applyNumberFormat="1" applyFont="1" applyFill="1" applyBorder="1"/>
    <xf numFmtId="179" fontId="17" fillId="5" borderId="37" xfId="0" applyNumberFormat="1" applyFont="1" applyFill="1" applyBorder="1"/>
    <xf numFmtId="186" fontId="16" fillId="0" borderId="0" xfId="0" applyNumberFormat="1" applyFont="1" applyAlignment="1">
      <alignment horizontal="center"/>
    </xf>
    <xf numFmtId="185" fontId="17" fillId="0" borderId="0" xfId="2" applyNumberFormat="1" applyFont="1" applyAlignment="1">
      <alignment horizontal="center"/>
    </xf>
    <xf numFmtId="185" fontId="16" fillId="0" borderId="1" xfId="2" applyNumberFormat="1" applyFont="1" applyBorder="1" applyAlignment="1">
      <alignment horizontal="center"/>
    </xf>
    <xf numFmtId="172" fontId="17" fillId="0" borderId="53" xfId="0" applyNumberFormat="1" applyFont="1" applyBorder="1" applyAlignment="1">
      <alignment horizontal="center"/>
    </xf>
    <xf numFmtId="172" fontId="17" fillId="0" borderId="22" xfId="0" applyNumberFormat="1" applyFont="1" applyBorder="1" applyAlignment="1">
      <alignment horizontal="center"/>
    </xf>
    <xf numFmtId="172" fontId="17" fillId="5" borderId="53" xfId="0" applyNumberFormat="1" applyFont="1" applyFill="1" applyBorder="1" applyAlignment="1">
      <alignment horizontal="center"/>
    </xf>
    <xf numFmtId="172" fontId="17" fillId="5" borderId="22" xfId="0" applyNumberFormat="1" applyFont="1" applyFill="1" applyBorder="1" applyAlignment="1">
      <alignment horizontal="center"/>
    </xf>
    <xf numFmtId="2" fontId="17" fillId="2" borderId="58" xfId="0" applyNumberFormat="1" applyFont="1" applyFill="1" applyBorder="1" applyAlignment="1">
      <alignment horizontal="center"/>
    </xf>
    <xf numFmtId="186" fontId="16" fillId="0" borderId="1" xfId="0" applyNumberFormat="1" applyFont="1" applyBorder="1" applyAlignment="1">
      <alignment horizontal="center"/>
    </xf>
    <xf numFmtId="9" fontId="0" fillId="0" borderId="0" xfId="6" applyFont="1"/>
    <xf numFmtId="9" fontId="0" fillId="0" borderId="0" xfId="6" applyFont="1" applyAlignment="1">
      <alignment vertical="center"/>
    </xf>
    <xf numFmtId="0" fontId="14" fillId="0" borderId="1" xfId="0" applyFont="1" applyBorder="1" applyAlignment="1">
      <alignment horizontal="centerContinuous" vertical="center"/>
    </xf>
    <xf numFmtId="0" fontId="39" fillId="0" borderId="0" xfId="0" applyFont="1" applyAlignment="1">
      <alignment horizontal="center"/>
    </xf>
    <xf numFmtId="0" fontId="41" fillId="0" borderId="0" xfId="2" applyFont="1" applyAlignment="1">
      <alignment vertical="center"/>
    </xf>
    <xf numFmtId="167" fontId="17" fillId="0" borderId="0" xfId="0" applyNumberFormat="1" applyFont="1" applyAlignment="1">
      <alignment horizontal="left"/>
    </xf>
    <xf numFmtId="167" fontId="16" fillId="0" borderId="0" xfId="0" applyNumberFormat="1" applyFont="1" applyAlignment="1">
      <alignment horizontal="center"/>
    </xf>
    <xf numFmtId="186" fontId="17" fillId="0" borderId="0" xfId="0" applyNumberFormat="1" applyFont="1" applyAlignment="1">
      <alignment horizontal="center" vertical="center"/>
    </xf>
    <xf numFmtId="193" fontId="16" fillId="11" borderId="0" xfId="0" applyNumberFormat="1" applyFont="1" applyFill="1" applyAlignment="1">
      <alignment horizontal="center"/>
    </xf>
    <xf numFmtId="193" fontId="16" fillId="0" borderId="0" xfId="0" applyNumberFormat="1" applyFont="1" applyAlignment="1">
      <alignment horizontal="center"/>
    </xf>
    <xf numFmtId="193" fontId="17" fillId="0" borderId="0" xfId="0" applyNumberFormat="1" applyFont="1" applyAlignment="1">
      <alignment horizontal="center"/>
    </xf>
    <xf numFmtId="193" fontId="0" fillId="0" borderId="0" xfId="0" applyNumberFormat="1" applyAlignment="1">
      <alignment vertical="center"/>
    </xf>
    <xf numFmtId="193" fontId="0" fillId="0" borderId="0" xfId="0" applyNumberFormat="1" applyAlignment="1">
      <alignment horizontal="center" vertical="center"/>
    </xf>
    <xf numFmtId="193" fontId="16" fillId="0" borderId="0" xfId="2" applyNumberFormat="1" applyFont="1" applyAlignment="1">
      <alignment horizontal="center"/>
    </xf>
    <xf numFmtId="193" fontId="17" fillId="0" borderId="1" xfId="0" applyNumberFormat="1" applyFont="1" applyBorder="1" applyAlignment="1">
      <alignment horizontal="center"/>
    </xf>
    <xf numFmtId="193" fontId="0" fillId="0" borderId="1" xfId="0" applyNumberFormat="1" applyBorder="1" applyAlignment="1">
      <alignment horizontal="center" vertical="center"/>
    </xf>
    <xf numFmtId="193" fontId="16" fillId="0" borderId="1" xfId="2" applyNumberFormat="1" applyFont="1" applyBorder="1" applyAlignment="1">
      <alignment horizontal="center"/>
    </xf>
    <xf numFmtId="193" fontId="0" fillId="0" borderId="0" xfId="0" applyNumberFormat="1"/>
    <xf numFmtId="193" fontId="0" fillId="0" borderId="0" xfId="0" applyNumberFormat="1" applyAlignment="1">
      <alignment horizontal="center"/>
    </xf>
    <xf numFmtId="193" fontId="16" fillId="11" borderId="0" xfId="2" applyNumberFormat="1" applyFont="1" applyFill="1" applyAlignment="1">
      <alignment horizontal="center"/>
    </xf>
    <xf numFmtId="193" fontId="16" fillId="11" borderId="1" xfId="2" applyNumberFormat="1" applyFont="1" applyFill="1" applyBorder="1" applyAlignment="1">
      <alignment horizontal="center"/>
    </xf>
    <xf numFmtId="167" fontId="16" fillId="9" borderId="12" xfId="4" applyNumberFormat="1" applyFont="1" applyFill="1" applyBorder="1" applyAlignment="1">
      <alignment horizontal="left"/>
    </xf>
    <xf numFmtId="185" fontId="17" fillId="0" borderId="1" xfId="2" applyNumberFormat="1" applyFont="1" applyBorder="1" applyAlignment="1">
      <alignment horizontal="center"/>
    </xf>
    <xf numFmtId="0" fontId="0" fillId="0" borderId="1" xfId="0" applyBorder="1" applyAlignment="1">
      <alignment horizontal="centerContinuous"/>
    </xf>
    <xf numFmtId="186" fontId="16" fillId="9" borderId="81" xfId="0" applyNumberFormat="1" applyFont="1" applyFill="1" applyBorder="1" applyAlignment="1">
      <alignment horizontal="right" vertical="center"/>
    </xf>
    <xf numFmtId="0" fontId="54" fillId="0" borderId="0" xfId="0" applyFont="1" applyAlignment="1">
      <alignment horizontal="left"/>
    </xf>
    <xf numFmtId="189" fontId="16" fillId="0" borderId="0" xfId="0" applyNumberFormat="1" applyFont="1" applyAlignment="1">
      <alignment horizontal="right"/>
    </xf>
    <xf numFmtId="189" fontId="19" fillId="0" borderId="0" xfId="0" applyNumberFormat="1" applyFont="1"/>
    <xf numFmtId="194" fontId="0" fillId="0" borderId="0" xfId="0" applyNumberFormat="1"/>
    <xf numFmtId="189" fontId="17" fillId="0" borderId="64" xfId="0" applyNumberFormat="1" applyFont="1" applyBorder="1" applyAlignment="1">
      <alignment horizontal="right"/>
    </xf>
    <xf numFmtId="189" fontId="17" fillId="0" borderId="21" xfId="0" applyNumberFormat="1" applyFont="1" applyBorder="1" applyAlignment="1">
      <alignment horizontal="right"/>
    </xf>
    <xf numFmtId="189" fontId="16" fillId="0" borderId="0" xfId="0" applyNumberFormat="1" applyFont="1" applyAlignment="1">
      <alignment horizontal="left"/>
    </xf>
    <xf numFmtId="189" fontId="0" fillId="0" borderId="0" xfId="0" applyNumberFormat="1"/>
    <xf numFmtId="194" fontId="17" fillId="0" borderId="0" xfId="0" applyNumberFormat="1" applyFont="1" applyAlignment="1">
      <alignment horizontal="right"/>
    </xf>
    <xf numFmtId="193" fontId="16" fillId="11" borderId="3" xfId="0" applyNumberFormat="1" applyFont="1" applyFill="1" applyBorder="1" applyAlignment="1">
      <alignment horizontal="center"/>
    </xf>
    <xf numFmtId="193" fontId="17" fillId="0" borderId="3" xfId="0" applyNumberFormat="1" applyFont="1" applyBorder="1" applyAlignment="1">
      <alignment horizontal="center"/>
    </xf>
    <xf numFmtId="193" fontId="0" fillId="0" borderId="3" xfId="0" applyNumberFormat="1" applyBorder="1" applyAlignment="1">
      <alignment horizontal="center" vertical="center"/>
    </xf>
    <xf numFmtId="193" fontId="16" fillId="0" borderId="3" xfId="2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7" fillId="0" borderId="0" xfId="0" applyFont="1" applyAlignment="1">
      <alignment horizontal="centerContinuous" vertical="center"/>
    </xf>
    <xf numFmtId="0" fontId="14" fillId="0" borderId="0" xfId="0" applyFont="1" applyAlignment="1">
      <alignment horizontal="right"/>
    </xf>
    <xf numFmtId="195" fontId="17" fillId="0" borderId="0" xfId="0" applyNumberFormat="1" applyFont="1" applyAlignment="1">
      <alignment horizontal="center"/>
    </xf>
    <xf numFmtId="195" fontId="17" fillId="0" borderId="1" xfId="0" applyNumberFormat="1" applyFont="1" applyBorder="1" applyAlignment="1">
      <alignment horizontal="center"/>
    </xf>
    <xf numFmtId="0" fontId="0" fillId="0" borderId="61" xfId="0" applyBorder="1" applyAlignment="1">
      <alignment horizontal="center" vertical="center"/>
    </xf>
    <xf numFmtId="196" fontId="16" fillId="0" borderId="0" xfId="0" applyNumberFormat="1" applyFont="1" applyAlignment="1">
      <alignment horizontal="left"/>
    </xf>
    <xf numFmtId="196" fontId="0" fillId="0" borderId="0" xfId="0" applyNumberFormat="1" applyAlignment="1">
      <alignment horizontal="left"/>
    </xf>
    <xf numFmtId="0" fontId="0" fillId="14" borderId="0" xfId="0" applyFill="1" applyAlignment="1">
      <alignment horizontal="left"/>
    </xf>
    <xf numFmtId="196" fontId="0" fillId="14" borderId="0" xfId="0" applyNumberFormat="1" applyFill="1" applyAlignment="1">
      <alignment horizontal="left"/>
    </xf>
    <xf numFmtId="0" fontId="38" fillId="0" borderId="0" xfId="2" applyAlignment="1">
      <alignment horizontal="right"/>
    </xf>
    <xf numFmtId="0" fontId="76" fillId="0" borderId="0" xfId="2" applyFont="1"/>
    <xf numFmtId="0" fontId="39" fillId="0" borderId="0" xfId="2" applyFont="1" applyAlignment="1">
      <alignment horizontal="left"/>
    </xf>
    <xf numFmtId="0" fontId="16" fillId="10" borderId="0" xfId="0" applyFont="1" applyFill="1" applyAlignment="1">
      <alignment horizontal="center"/>
    </xf>
    <xf numFmtId="0" fontId="0" fillId="0" borderId="1" xfId="0" applyBorder="1" applyAlignment="1">
      <alignment horizontal="left"/>
    </xf>
    <xf numFmtId="0" fontId="14" fillId="0" borderId="60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8" xfId="0" applyBorder="1" applyAlignment="1">
      <alignment horizontal="center"/>
    </xf>
    <xf numFmtId="2" fontId="16" fillId="9" borderId="12" xfId="0" applyNumberFormat="1" applyFont="1" applyFill="1" applyBorder="1"/>
    <xf numFmtId="0" fontId="14" fillId="0" borderId="1" xfId="0" applyFont="1" applyBorder="1" applyAlignment="1">
      <alignment horizontal="center" vertical="center"/>
    </xf>
    <xf numFmtId="39" fontId="0" fillId="0" borderId="0" xfId="0" applyNumberFormat="1" applyAlignment="1">
      <alignment horizontal="center"/>
    </xf>
    <xf numFmtId="39" fontId="0" fillId="0" borderId="19" xfId="0" applyNumberFormat="1" applyBorder="1" applyAlignment="1">
      <alignment horizontal="center"/>
    </xf>
    <xf numFmtId="167" fontId="16" fillId="2" borderId="0" xfId="0" applyNumberFormat="1" applyFont="1" applyFill="1" applyAlignment="1">
      <alignment horizontal="left"/>
    </xf>
    <xf numFmtId="174" fontId="16" fillId="2" borderId="0" xfId="0" applyNumberFormat="1" applyFont="1" applyFill="1" applyAlignment="1">
      <alignment horizontal="left"/>
    </xf>
    <xf numFmtId="0" fontId="0" fillId="0" borderId="5" xfId="0" applyBorder="1" applyAlignment="1">
      <alignment horizontal="centerContinuous"/>
    </xf>
    <xf numFmtId="0" fontId="17" fillId="0" borderId="6" xfId="0" quotePrefix="1" applyFont="1" applyBorder="1" applyAlignment="1">
      <alignment horizontal="center"/>
    </xf>
    <xf numFmtId="179" fontId="16" fillId="0" borderId="0" xfId="0" applyNumberFormat="1" applyFont="1"/>
    <xf numFmtId="0" fontId="0" fillId="0" borderId="3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80" xfId="0" applyBorder="1" applyAlignment="1">
      <alignment horizontal="center"/>
    </xf>
    <xf numFmtId="0" fontId="59" fillId="0" borderId="82" xfId="0" applyFont="1" applyBorder="1" applyAlignment="1">
      <alignment horizontal="centerContinuous"/>
    </xf>
    <xf numFmtId="168" fontId="17" fillId="0" borderId="0" xfId="0" applyNumberFormat="1" applyFont="1" applyAlignment="1">
      <alignment horizontal="center"/>
    </xf>
    <xf numFmtId="182" fontId="17" fillId="0" borderId="0" xfId="0" applyNumberFormat="1" applyFont="1" applyAlignment="1">
      <alignment horizontal="centerContinuous" vertical="top"/>
    </xf>
    <xf numFmtId="0" fontId="0" fillId="5" borderId="0" xfId="0" applyFill="1" applyAlignment="1">
      <alignment horizontal="centerContinuous" vertical="top"/>
    </xf>
    <xf numFmtId="0" fontId="49" fillId="15" borderId="9" xfId="0" applyFont="1" applyFill="1" applyBorder="1" applyAlignment="1">
      <alignment horizontal="centerContinuous" vertical="center"/>
    </xf>
    <xf numFmtId="0" fontId="49" fillId="15" borderId="38" xfId="0" applyFont="1" applyFill="1" applyBorder="1" applyAlignment="1">
      <alignment horizontal="centerContinuous" vertical="center"/>
    </xf>
    <xf numFmtId="0" fontId="49" fillId="15" borderId="13" xfId="0" applyFont="1" applyFill="1" applyBorder="1" applyAlignment="1">
      <alignment horizontal="centerContinuous" vertical="center"/>
    </xf>
    <xf numFmtId="0" fontId="49" fillId="15" borderId="9" xfId="0" applyFont="1" applyFill="1" applyBorder="1" applyAlignment="1">
      <alignment horizontal="centerContinuous"/>
    </xf>
    <xf numFmtId="0" fontId="49" fillId="15" borderId="7" xfId="0" applyFont="1" applyFill="1" applyBorder="1" applyAlignment="1">
      <alignment horizontal="centerContinuous"/>
    </xf>
    <xf numFmtId="0" fontId="49" fillId="15" borderId="8" xfId="0" applyFont="1" applyFill="1" applyBorder="1" applyAlignment="1">
      <alignment horizontal="centerContinuous" vertical="center"/>
    </xf>
    <xf numFmtId="0" fontId="49" fillId="15" borderId="7" xfId="0" applyFont="1" applyFill="1" applyBorder="1" applyAlignment="1">
      <alignment horizontal="centerContinuous" vertical="center"/>
    </xf>
    <xf numFmtId="0" fontId="37" fillId="15" borderId="8" xfId="0" applyFont="1" applyFill="1" applyBorder="1" applyAlignment="1">
      <alignment horizontal="centerContinuous" vertical="center"/>
    </xf>
    <xf numFmtId="0" fontId="37" fillId="15" borderId="49" xfId="0" applyFont="1" applyFill="1" applyBorder="1" applyAlignment="1">
      <alignment horizontal="centerContinuous" vertical="center"/>
    </xf>
    <xf numFmtId="0" fontId="37" fillId="15" borderId="7" xfId="0" applyFont="1" applyFill="1" applyBorder="1" applyAlignment="1">
      <alignment horizontal="centerContinuous" vertical="center"/>
    </xf>
    <xf numFmtId="0" fontId="50" fillId="15" borderId="8" xfId="0" applyFont="1" applyFill="1" applyBorder="1" applyAlignment="1">
      <alignment horizontal="centerContinuous" vertical="center"/>
    </xf>
    <xf numFmtId="0" fontId="50" fillId="15" borderId="7" xfId="0" applyFont="1" applyFill="1" applyBorder="1" applyAlignment="1">
      <alignment horizontal="centerContinuous" vertical="center"/>
    </xf>
    <xf numFmtId="0" fontId="0" fillId="5" borderId="6" xfId="0" applyFill="1" applyBorder="1" applyAlignment="1">
      <alignment horizontal="center" vertical="top"/>
    </xf>
    <xf numFmtId="0" fontId="0" fillId="5" borderId="19" xfId="0" applyFill="1" applyBorder="1" applyAlignment="1">
      <alignment vertical="top"/>
    </xf>
    <xf numFmtId="0" fontId="0" fillId="5" borderId="5" xfId="0" applyFill="1" applyBorder="1" applyAlignment="1">
      <alignment vertical="top"/>
    </xf>
    <xf numFmtId="185" fontId="0" fillId="12" borderId="83" xfId="0" applyNumberFormat="1" applyFill="1" applyBorder="1" applyAlignment="1">
      <alignment horizontal="center"/>
    </xf>
    <xf numFmtId="39" fontId="0" fillId="12" borderId="28" xfId="0" applyNumberFormat="1" applyFill="1" applyBorder="1" applyAlignment="1">
      <alignment horizontal="center"/>
    </xf>
    <xf numFmtId="0" fontId="14" fillId="0" borderId="61" xfId="0" applyFont="1" applyBorder="1" applyAlignment="1">
      <alignment horizontal="center"/>
    </xf>
    <xf numFmtId="0" fontId="18" fillId="0" borderId="51" xfId="0" applyFont="1" applyBorder="1" applyAlignment="1">
      <alignment horizontal="center"/>
    </xf>
    <xf numFmtId="185" fontId="0" fillId="0" borderId="0" xfId="0" applyNumberFormat="1" applyAlignment="1">
      <alignment horizontal="center"/>
    </xf>
    <xf numFmtId="39" fontId="0" fillId="0" borderId="18" xfId="0" applyNumberFormat="1" applyBorder="1" applyAlignment="1">
      <alignment horizontal="center"/>
    </xf>
    <xf numFmtId="185" fontId="0" fillId="0" borderId="1" xfId="0" applyNumberFormat="1" applyBorder="1" applyAlignment="1">
      <alignment horizontal="center"/>
    </xf>
    <xf numFmtId="0" fontId="0" fillId="12" borderId="46" xfId="0" applyFill="1" applyBorder="1" applyAlignment="1">
      <alignment horizontal="center"/>
    </xf>
    <xf numFmtId="0" fontId="77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27" fillId="0" borderId="11" xfId="0" applyFont="1" applyBorder="1" applyAlignment="1">
      <alignment horizontal="left" vertical="center"/>
    </xf>
    <xf numFmtId="0" fontId="27" fillId="0" borderId="15" xfId="0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185" fontId="16" fillId="0" borderId="0" xfId="0" applyNumberFormat="1" applyFont="1" applyAlignment="1">
      <alignment horizontal="right" vertical="top"/>
    </xf>
    <xf numFmtId="192" fontId="16" fillId="0" borderId="0" xfId="0" applyNumberFormat="1" applyFont="1" applyAlignment="1">
      <alignment horizontal="right" vertical="top"/>
    </xf>
    <xf numFmtId="0" fontId="27" fillId="12" borderId="60" xfId="0" applyFont="1" applyFill="1" applyBorder="1" applyAlignment="1">
      <alignment horizontal="center"/>
    </xf>
    <xf numFmtId="0" fontId="27" fillId="12" borderId="51" xfId="0" applyFont="1" applyFill="1" applyBorder="1" applyAlignment="1">
      <alignment horizontal="center"/>
    </xf>
    <xf numFmtId="0" fontId="27" fillId="12" borderId="70" xfId="0" applyFont="1" applyFill="1" applyBorder="1" applyAlignment="1">
      <alignment horizontal="center"/>
    </xf>
    <xf numFmtId="9" fontId="0" fillId="0" borderId="0" xfId="6" applyFont="1" applyBorder="1" applyAlignment="1">
      <alignment horizontal="center"/>
    </xf>
    <xf numFmtId="9" fontId="0" fillId="11" borderId="0" xfId="6" applyFont="1" applyFill="1" applyBorder="1" applyAlignment="1">
      <alignment horizontal="center"/>
    </xf>
    <xf numFmtId="9" fontId="0" fillId="0" borderId="0" xfId="6" applyFont="1" applyFill="1" applyBorder="1" applyAlignment="1">
      <alignment horizontal="center"/>
    </xf>
    <xf numFmtId="0" fontId="14" fillId="10" borderId="0" xfId="0" applyFont="1" applyFill="1" applyAlignment="1">
      <alignment horizontal="center"/>
    </xf>
    <xf numFmtId="0" fontId="0" fillId="16" borderId="57" xfId="0" applyFill="1" applyBorder="1" applyAlignment="1">
      <alignment horizontal="center"/>
    </xf>
    <xf numFmtId="0" fontId="27" fillId="0" borderId="60" xfId="0" applyFont="1" applyBorder="1" applyAlignment="1">
      <alignment horizontal="centerContinuous" vertical="center" wrapText="1"/>
    </xf>
    <xf numFmtId="0" fontId="27" fillId="0" borderId="51" xfId="0" applyFont="1" applyBorder="1" applyAlignment="1">
      <alignment horizontal="centerContinuous" vertical="center" wrapText="1"/>
    </xf>
    <xf numFmtId="0" fontId="2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175" fontId="16" fillId="0" borderId="0" xfId="0" applyNumberFormat="1" applyFont="1" applyAlignment="1">
      <alignment horizontal="right"/>
    </xf>
    <xf numFmtId="167" fontId="0" fillId="0" borderId="0" xfId="0" applyNumberFormat="1" applyAlignment="1">
      <alignment horizontal="left"/>
    </xf>
    <xf numFmtId="0" fontId="27" fillId="0" borderId="1" xfId="0" applyFont="1" applyBorder="1" applyAlignment="1">
      <alignment horizontal="centerContinuous" vertical="center"/>
    </xf>
    <xf numFmtId="0" fontId="27" fillId="0" borderId="60" xfId="0" applyFont="1" applyBorder="1" applyAlignment="1">
      <alignment horizontal="centerContinuous" vertical="center"/>
    </xf>
    <xf numFmtId="0" fontId="27" fillId="0" borderId="51" xfId="0" applyFont="1" applyBorder="1" applyAlignment="1">
      <alignment horizontal="centerContinuous" vertical="center"/>
    </xf>
    <xf numFmtId="167" fontId="16" fillId="0" borderId="0" xfId="0" applyNumberFormat="1" applyFont="1" applyAlignment="1">
      <alignment horizontal="left" wrapText="1"/>
    </xf>
    <xf numFmtId="175" fontId="16" fillId="0" borderId="0" xfId="0" applyNumberFormat="1" applyFont="1" applyAlignment="1">
      <alignment horizontal="right" wrapText="1"/>
    </xf>
    <xf numFmtId="185" fontId="17" fillId="0" borderId="0" xfId="0" applyNumberFormat="1" applyFont="1" applyAlignment="1">
      <alignment horizontal="right" wrapText="1"/>
    </xf>
    <xf numFmtId="186" fontId="17" fillId="0" borderId="0" xfId="0" applyNumberFormat="1" applyFont="1" applyAlignment="1">
      <alignment horizontal="right" wrapText="1"/>
    </xf>
    <xf numFmtId="172" fontId="17" fillId="0" borderId="14" xfId="0" applyNumberFormat="1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/>
    </xf>
    <xf numFmtId="0" fontId="17" fillId="5" borderId="40" xfId="0" applyFont="1" applyFill="1" applyBorder="1" applyAlignment="1">
      <alignment vertical="center"/>
    </xf>
    <xf numFmtId="0" fontId="17" fillId="5" borderId="44" xfId="0" applyFont="1" applyFill="1" applyBorder="1" applyAlignment="1">
      <alignment horizontal="center" vertical="center"/>
    </xf>
    <xf numFmtId="0" fontId="17" fillId="5" borderId="41" xfId="0" applyFont="1" applyFill="1" applyBorder="1" applyAlignment="1">
      <alignment horizontal="center" vertical="center"/>
    </xf>
    <xf numFmtId="1" fontId="17" fillId="5" borderId="41" xfId="0" applyNumberFormat="1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vertical="center"/>
    </xf>
    <xf numFmtId="0" fontId="17" fillId="5" borderId="20" xfId="0" applyFont="1" applyFill="1" applyBorder="1" applyAlignment="1">
      <alignment horizontal="center" vertical="center"/>
    </xf>
    <xf numFmtId="0" fontId="17" fillId="5" borderId="17" xfId="0" applyFont="1" applyFill="1" applyBorder="1" applyAlignment="1">
      <alignment horizontal="center" vertical="center"/>
    </xf>
    <xf numFmtId="1" fontId="17" fillId="5" borderId="17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172" fontId="17" fillId="0" borderId="14" xfId="0" applyNumberFormat="1" applyFont="1" applyBorder="1" applyAlignment="1">
      <alignment horizontal="center" wrapText="1"/>
    </xf>
    <xf numFmtId="0" fontId="0" fillId="0" borderId="6" xfId="0" applyBorder="1" applyAlignment="1">
      <alignment vertical="center"/>
    </xf>
    <xf numFmtId="179" fontId="17" fillId="5" borderId="45" xfId="0" applyNumberFormat="1" applyFont="1" applyFill="1" applyBorder="1" applyAlignment="1">
      <alignment horizontal="center" vertical="center" wrapText="1"/>
    </xf>
    <xf numFmtId="179" fontId="17" fillId="5" borderId="16" xfId="0" applyNumberFormat="1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53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5" borderId="40" xfId="0" applyFont="1" applyFill="1" applyBorder="1" applyAlignment="1">
      <alignment vertical="center" wrapText="1"/>
    </xf>
    <xf numFmtId="0" fontId="17" fillId="5" borderId="44" xfId="0" applyFont="1" applyFill="1" applyBorder="1" applyAlignment="1">
      <alignment horizontal="center" vertical="center" wrapText="1"/>
    </xf>
    <xf numFmtId="0" fontId="17" fillId="5" borderId="41" xfId="0" applyFont="1" applyFill="1" applyBorder="1" applyAlignment="1">
      <alignment horizontal="center" vertical="center" wrapText="1"/>
    </xf>
    <xf numFmtId="1" fontId="17" fillId="5" borderId="41" xfId="0" applyNumberFormat="1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vertical="center" wrapText="1"/>
    </xf>
    <xf numFmtId="0" fontId="17" fillId="5" borderId="20" xfId="0" applyFont="1" applyFill="1" applyBorder="1" applyAlignment="1">
      <alignment horizontal="center" vertical="center" wrapText="1"/>
    </xf>
    <xf numFmtId="0" fontId="17" fillId="5" borderId="17" xfId="0" applyFont="1" applyFill="1" applyBorder="1" applyAlignment="1">
      <alignment horizontal="center" vertical="center" wrapText="1"/>
    </xf>
    <xf numFmtId="1" fontId="17" fillId="5" borderId="17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wrapText="1"/>
    </xf>
    <xf numFmtId="0" fontId="3" fillId="0" borderId="0" xfId="0" applyFont="1"/>
    <xf numFmtId="0" fontId="16" fillId="0" borderId="0" xfId="0" applyFont="1" applyAlignment="1">
      <alignment horizontal="left" vertical="center"/>
    </xf>
    <xf numFmtId="0" fontId="56" fillId="0" borderId="21" xfId="0" applyFont="1" applyBorder="1" applyAlignment="1">
      <alignment horizontal="centerContinuous" vertical="center"/>
    </xf>
    <xf numFmtId="183" fontId="16" fillId="0" borderId="0" xfId="0" applyNumberFormat="1" applyFont="1" applyAlignment="1">
      <alignment horizontal="left" vertical="center"/>
    </xf>
    <xf numFmtId="2" fontId="16" fillId="0" borderId="0" xfId="0" applyNumberFormat="1" applyFont="1" applyAlignment="1">
      <alignment horizontal="left" vertical="center"/>
    </xf>
    <xf numFmtId="2" fontId="16" fillId="0" borderId="0" xfId="0" applyNumberFormat="1" applyFont="1" applyAlignment="1">
      <alignment vertical="center"/>
    </xf>
    <xf numFmtId="2" fontId="0" fillId="0" borderId="0" xfId="0" applyNumberFormat="1" applyAlignment="1">
      <alignment vertical="center"/>
    </xf>
    <xf numFmtId="183" fontId="16" fillId="0" borderId="0" xfId="0" applyNumberFormat="1" applyFont="1" applyAlignment="1">
      <alignment vertical="center"/>
    </xf>
    <xf numFmtId="0" fontId="17" fillId="0" borderId="74" xfId="0" applyFont="1" applyBorder="1" applyAlignment="1">
      <alignment vertical="center"/>
    </xf>
    <xf numFmtId="0" fontId="17" fillId="0" borderId="76" xfId="0" applyFont="1" applyBorder="1" applyAlignment="1">
      <alignment horizontal="center" vertical="center"/>
    </xf>
    <xf numFmtId="0" fontId="17" fillId="0" borderId="9" xfId="0" applyFont="1" applyBorder="1" applyAlignment="1">
      <alignment vertical="center"/>
    </xf>
    <xf numFmtId="0" fontId="17" fillId="0" borderId="77" xfId="0" applyFont="1" applyBorder="1" applyAlignment="1">
      <alignment horizontal="center" vertical="center"/>
    </xf>
    <xf numFmtId="183" fontId="16" fillId="0" borderId="1" xfId="0" applyNumberFormat="1" applyFont="1" applyBorder="1" applyAlignment="1">
      <alignment horizontal="left" vertical="center"/>
    </xf>
    <xf numFmtId="2" fontId="16" fillId="0" borderId="1" xfId="0" applyNumberFormat="1" applyFont="1" applyBorder="1" applyAlignment="1">
      <alignment horizontal="left" vertical="center"/>
    </xf>
    <xf numFmtId="2" fontId="16" fillId="0" borderId="1" xfId="0" applyNumberFormat="1" applyFont="1" applyBorder="1" applyAlignment="1">
      <alignment vertical="center"/>
    </xf>
    <xf numFmtId="0" fontId="17" fillId="5" borderId="27" xfId="0" applyFont="1" applyFill="1" applyBorder="1" applyAlignment="1">
      <alignment vertical="center"/>
    </xf>
    <xf numFmtId="0" fontId="17" fillId="5" borderId="28" xfId="0" applyFont="1" applyFill="1" applyBorder="1" applyAlignment="1">
      <alignment horizontal="center" vertical="center"/>
    </xf>
    <xf numFmtId="0" fontId="16" fillId="0" borderId="62" xfId="0" applyFont="1" applyBorder="1" applyAlignment="1">
      <alignment horizontal="left" vertical="center"/>
    </xf>
    <xf numFmtId="0" fontId="17" fillId="0" borderId="6" xfId="0" applyFont="1" applyBorder="1" applyAlignment="1">
      <alignment vertical="center"/>
    </xf>
    <xf numFmtId="2" fontId="16" fillId="9" borderId="12" xfId="0" applyNumberFormat="1" applyFont="1" applyFill="1" applyBorder="1" applyAlignment="1">
      <alignment vertical="center"/>
    </xf>
    <xf numFmtId="183" fontId="16" fillId="0" borderId="1" xfId="0" applyNumberFormat="1" applyFont="1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0" fontId="17" fillId="5" borderId="30" xfId="0" applyFont="1" applyFill="1" applyBorder="1" applyAlignment="1">
      <alignment vertical="center"/>
    </xf>
    <xf numFmtId="0" fontId="17" fillId="5" borderId="31" xfId="0" applyFont="1" applyFill="1" applyBorder="1" applyAlignment="1">
      <alignment horizontal="center" vertical="center"/>
    </xf>
    <xf numFmtId="0" fontId="17" fillId="5" borderId="24" xfId="0" applyFont="1" applyFill="1" applyBorder="1" applyAlignment="1">
      <alignment vertical="center"/>
    </xf>
    <xf numFmtId="0" fontId="17" fillId="5" borderId="25" xfId="0" applyFont="1" applyFill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0" fontId="17" fillId="0" borderId="17" xfId="0" applyFont="1" applyBorder="1" applyAlignment="1">
      <alignment horizontal="center" vertical="center"/>
    </xf>
    <xf numFmtId="0" fontId="17" fillId="5" borderId="72" xfId="0" applyFont="1" applyFill="1" applyBorder="1" applyAlignment="1">
      <alignment vertical="center"/>
    </xf>
    <xf numFmtId="0" fontId="17" fillId="5" borderId="78" xfId="0" applyFont="1" applyFill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49" fillId="15" borderId="38" xfId="0" applyFont="1" applyFill="1" applyBorder="1" applyAlignment="1">
      <alignment horizontal="centerContinuous"/>
    </xf>
    <xf numFmtId="0" fontId="56" fillId="0" borderId="5" xfId="0" applyFont="1" applyBorder="1" applyAlignment="1">
      <alignment horizontal="centerContinuous" vertical="center"/>
    </xf>
    <xf numFmtId="0" fontId="27" fillId="0" borderId="14" xfId="0" applyFont="1" applyBorder="1" applyAlignment="1">
      <alignment horizontal="centerContinuous" vertical="center"/>
    </xf>
    <xf numFmtId="0" fontId="17" fillId="0" borderId="84" xfId="0" applyFont="1" applyBorder="1" applyAlignment="1">
      <alignment horizontal="center" vertical="center"/>
    </xf>
    <xf numFmtId="0" fontId="17" fillId="5" borderId="29" xfId="0" applyFont="1" applyFill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5" borderId="32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5" borderId="85" xfId="0" applyFont="1" applyFill="1" applyBorder="1" applyAlignment="1">
      <alignment horizontal="center" vertical="center"/>
    </xf>
    <xf numFmtId="0" fontId="17" fillId="5" borderId="45" xfId="0" applyFont="1" applyFill="1" applyBorder="1" applyAlignment="1">
      <alignment horizontal="center" vertical="center"/>
    </xf>
    <xf numFmtId="0" fontId="17" fillId="5" borderId="26" xfId="0" applyFont="1" applyFill="1" applyBorder="1" applyAlignment="1">
      <alignment horizontal="center" vertical="center"/>
    </xf>
    <xf numFmtId="0" fontId="27" fillId="12" borderId="86" xfId="0" applyFont="1" applyFill="1" applyBorder="1" applyAlignment="1">
      <alignment horizontal="center"/>
    </xf>
    <xf numFmtId="0" fontId="27" fillId="12" borderId="87" xfId="0" applyFont="1" applyFill="1" applyBorder="1" applyAlignment="1">
      <alignment horizontal="center"/>
    </xf>
    <xf numFmtId="0" fontId="27" fillId="12" borderId="88" xfId="0" applyFont="1" applyFill="1" applyBorder="1" applyAlignment="1">
      <alignment horizontal="center"/>
    </xf>
    <xf numFmtId="0" fontId="27" fillId="0" borderId="0" xfId="0" applyFont="1" applyAlignment="1">
      <alignment horizontal="right" vertical="center"/>
    </xf>
    <xf numFmtId="0" fontId="0" fillId="0" borderId="0" xfId="0" applyAlignment="1">
      <alignment horizontal="right" wrapText="1"/>
    </xf>
    <xf numFmtId="0" fontId="14" fillId="0" borderId="0" xfId="0" applyFont="1" applyAlignment="1">
      <alignment horizontal="center" vertical="center" wrapText="1"/>
    </xf>
    <xf numFmtId="0" fontId="30" fillId="0" borderId="0" xfId="2" applyFont="1"/>
    <xf numFmtId="0" fontId="0" fillId="0" borderId="0" xfId="2" applyFont="1" applyAlignment="1">
      <alignment vertical="center"/>
    </xf>
    <xf numFmtId="0" fontId="17" fillId="5" borderId="39" xfId="2" applyFont="1" applyFill="1" applyBorder="1" applyAlignment="1">
      <alignment horizontal="left" vertical="center" wrapText="1"/>
    </xf>
    <xf numFmtId="0" fontId="17" fillId="5" borderId="25" xfId="2" applyFont="1" applyFill="1" applyBorder="1" applyAlignment="1">
      <alignment horizontal="center" vertical="center" wrapText="1"/>
    </xf>
    <xf numFmtId="179" fontId="17" fillId="5" borderId="26" xfId="2" applyNumberFormat="1" applyFont="1" applyFill="1" applyBorder="1" applyAlignment="1">
      <alignment horizontal="center" vertical="center" wrapText="1"/>
    </xf>
    <xf numFmtId="0" fontId="17" fillId="5" borderId="39" xfId="2" applyFont="1" applyFill="1" applyBorder="1" applyAlignment="1">
      <alignment horizontal="left" vertical="center"/>
    </xf>
    <xf numFmtId="0" fontId="17" fillId="5" borderId="25" xfId="2" applyFont="1" applyFill="1" applyBorder="1" applyAlignment="1">
      <alignment horizontal="center" vertical="center"/>
    </xf>
    <xf numFmtId="185" fontId="58" fillId="0" borderId="0" xfId="9" applyNumberFormat="1" applyFont="1" applyAlignment="1">
      <alignment horizontal="right"/>
    </xf>
    <xf numFmtId="189" fontId="58" fillId="0" borderId="0" xfId="0" applyNumberFormat="1" applyFont="1" applyAlignment="1">
      <alignment horizontal="center"/>
    </xf>
    <xf numFmtId="0" fontId="58" fillId="0" borderId="0" xfId="0" applyFont="1" applyAlignment="1">
      <alignment horizontal="center"/>
    </xf>
    <xf numFmtId="167" fontId="39" fillId="0" borderId="0" xfId="0" applyNumberFormat="1" applyFont="1" applyAlignment="1">
      <alignment horizontal="left"/>
    </xf>
    <xf numFmtId="2" fontId="39" fillId="0" borderId="0" xfId="0" applyNumberFormat="1" applyFont="1" applyAlignment="1">
      <alignment horizontal="left"/>
    </xf>
    <xf numFmtId="174" fontId="39" fillId="0" borderId="0" xfId="0" applyNumberFormat="1" applyFont="1" applyAlignment="1">
      <alignment horizontal="left"/>
    </xf>
    <xf numFmtId="0" fontId="3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58" fillId="0" borderId="0" xfId="0" applyFont="1" applyAlignment="1">
      <alignment horizontal="centerContinuous" vertical="center"/>
    </xf>
    <xf numFmtId="185" fontId="39" fillId="0" borderId="0" xfId="9" applyNumberFormat="1" applyFont="1" applyAlignment="1">
      <alignment horizontal="right"/>
    </xf>
    <xf numFmtId="0" fontId="78" fillId="0" borderId="0" xfId="0" applyFont="1" applyAlignment="1">
      <alignment horizontal="centerContinuous" vertical="center"/>
    </xf>
    <xf numFmtId="189" fontId="58" fillId="5" borderId="23" xfId="0" applyNumberFormat="1" applyFont="1" applyFill="1" applyBorder="1" applyAlignment="1">
      <alignment horizontal="center"/>
    </xf>
    <xf numFmtId="189" fontId="58" fillId="5" borderId="33" xfId="0" applyNumberFormat="1" applyFont="1" applyFill="1" applyBorder="1" applyAlignment="1">
      <alignment horizontal="center"/>
    </xf>
    <xf numFmtId="179" fontId="17" fillId="0" borderId="5" xfId="0" applyNumberFormat="1" applyFont="1" applyBorder="1" applyAlignment="1">
      <alignment horizontal="right"/>
    </xf>
    <xf numFmtId="0" fontId="58" fillId="5" borderId="24" xfId="9" applyFont="1" applyFill="1" applyBorder="1" applyAlignment="1">
      <alignment horizontal="left"/>
    </xf>
    <xf numFmtId="179" fontId="17" fillId="5" borderId="37" xfId="0" applyNumberFormat="1" applyFont="1" applyFill="1" applyBorder="1" applyAlignment="1">
      <alignment horizontal="right"/>
    </xf>
    <xf numFmtId="189" fontId="58" fillId="5" borderId="3" xfId="0" applyNumberFormat="1" applyFont="1" applyFill="1" applyBorder="1" applyAlignment="1">
      <alignment horizontal="center"/>
    </xf>
    <xf numFmtId="0" fontId="58" fillId="0" borderId="19" xfId="0" applyFont="1" applyBorder="1" applyAlignment="1">
      <alignment horizontal="center"/>
    </xf>
    <xf numFmtId="0" fontId="58" fillId="5" borderId="25" xfId="9" applyFont="1" applyFill="1" applyBorder="1" applyAlignment="1">
      <alignment horizontal="center"/>
    </xf>
    <xf numFmtId="0" fontId="58" fillId="5" borderId="41" xfId="0" applyFont="1" applyFill="1" applyBorder="1" applyAlignment="1">
      <alignment horizontal="center"/>
    </xf>
    <xf numFmtId="0" fontId="58" fillId="5" borderId="17" xfId="0" applyFont="1" applyFill="1" applyBorder="1" applyAlignment="1">
      <alignment horizontal="center"/>
    </xf>
    <xf numFmtId="179" fontId="17" fillId="0" borderId="19" xfId="0" applyNumberFormat="1" applyFont="1" applyBorder="1" applyAlignment="1">
      <alignment horizontal="right"/>
    </xf>
    <xf numFmtId="179" fontId="17" fillId="5" borderId="25" xfId="0" applyNumberFormat="1" applyFont="1" applyFill="1" applyBorder="1" applyAlignment="1">
      <alignment horizontal="right"/>
    </xf>
    <xf numFmtId="179" fontId="17" fillId="5" borderId="41" xfId="0" applyNumberFormat="1" applyFont="1" applyFill="1" applyBorder="1" applyAlignment="1">
      <alignment horizontal="right"/>
    </xf>
    <xf numFmtId="179" fontId="17" fillId="5" borderId="17" xfId="0" applyNumberFormat="1" applyFont="1" applyFill="1" applyBorder="1" applyAlignment="1">
      <alignment horizontal="right"/>
    </xf>
    <xf numFmtId="0" fontId="78" fillId="0" borderId="18" xfId="0" applyFont="1" applyBorder="1" applyAlignment="1">
      <alignment horizontal="centerContinuous" vertical="center"/>
    </xf>
    <xf numFmtId="0" fontId="58" fillId="0" borderId="25" xfId="0" applyFont="1" applyBorder="1" applyAlignment="1">
      <alignment horizontal="center"/>
    </xf>
    <xf numFmtId="0" fontId="58" fillId="0" borderId="41" xfId="0" applyFont="1" applyBorder="1" applyAlignment="1">
      <alignment horizontal="center"/>
    </xf>
    <xf numFmtId="179" fontId="17" fillId="0" borderId="25" xfId="0" applyNumberFormat="1" applyFont="1" applyBorder="1" applyAlignment="1">
      <alignment horizontal="right"/>
    </xf>
    <xf numFmtId="179" fontId="17" fillId="0" borderId="41" xfId="0" applyNumberFormat="1" applyFont="1" applyBorder="1" applyAlignment="1">
      <alignment horizontal="right"/>
    </xf>
    <xf numFmtId="0" fontId="39" fillId="0" borderId="0" xfId="0" applyFont="1"/>
    <xf numFmtId="0" fontId="78" fillId="0" borderId="11" xfId="0" applyFont="1" applyBorder="1" applyAlignment="1">
      <alignment horizontal="left" vertical="center"/>
    </xf>
    <xf numFmtId="0" fontId="78" fillId="0" borderId="1" xfId="0" applyFont="1" applyBorder="1" applyAlignment="1">
      <alignment horizontal="centerContinuous" vertical="center"/>
    </xf>
    <xf numFmtId="0" fontId="78" fillId="0" borderId="10" xfId="0" applyFont="1" applyBorder="1" applyAlignment="1">
      <alignment horizontal="centerContinuous" vertical="center"/>
    </xf>
    <xf numFmtId="0" fontId="58" fillId="0" borderId="0" xfId="0" applyFont="1"/>
    <xf numFmtId="0" fontId="58" fillId="0" borderId="6" xfId="0" applyFont="1" applyBorder="1"/>
    <xf numFmtId="0" fontId="58" fillId="5" borderId="40" xfId="0" applyFont="1" applyFill="1" applyBorder="1"/>
    <xf numFmtId="0" fontId="58" fillId="5" borderId="4" xfId="0" applyFont="1" applyFill="1" applyBorder="1"/>
    <xf numFmtId="0" fontId="3" fillId="0" borderId="6" xfId="0" applyFont="1" applyBorder="1"/>
    <xf numFmtId="0" fontId="78" fillId="0" borderId="1" xfId="0" applyFont="1" applyBorder="1" applyAlignment="1">
      <alignment horizontal="center" vertical="center"/>
    </xf>
    <xf numFmtId="0" fontId="79" fillId="0" borderId="0" xfId="0" applyFont="1" applyAlignment="1">
      <alignment horizontal="left"/>
    </xf>
    <xf numFmtId="0" fontId="39" fillId="0" borderId="0" xfId="0" applyFont="1" applyAlignment="1">
      <alignment horizontal="left"/>
    </xf>
    <xf numFmtId="2" fontId="16" fillId="10" borderId="12" xfId="2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179" fontId="0" fillId="0" borderId="0" xfId="0" applyNumberFormat="1"/>
    <xf numFmtId="0" fontId="17" fillId="0" borderId="53" xfId="0" applyFont="1" applyBorder="1" applyAlignment="1">
      <alignment horizontal="center"/>
    </xf>
    <xf numFmtId="192" fontId="17" fillId="0" borderId="0" xfId="0" applyNumberFormat="1" applyFont="1" applyAlignment="1">
      <alignment horizontal="right"/>
    </xf>
    <xf numFmtId="9" fontId="0" fillId="0" borderId="0" xfId="3" applyFont="1" applyFill="1"/>
    <xf numFmtId="0" fontId="4" fillId="0" borderId="34" xfId="0" applyFont="1" applyBorder="1" applyAlignment="1">
      <alignment horizontal="centerContinuous" vertical="center"/>
    </xf>
    <xf numFmtId="0" fontId="38" fillId="5" borderId="30" xfId="2" applyFill="1" applyBorder="1" applyAlignment="1">
      <alignment horizontal="center"/>
    </xf>
    <xf numFmtId="0" fontId="17" fillId="5" borderId="31" xfId="2" applyFont="1" applyFill="1" applyBorder="1" applyAlignment="1">
      <alignment horizontal="center"/>
    </xf>
    <xf numFmtId="172" fontId="17" fillId="5" borderId="32" xfId="0" applyNumberFormat="1" applyFont="1" applyFill="1" applyBorder="1" applyAlignment="1">
      <alignment horizontal="center"/>
    </xf>
    <xf numFmtId="9" fontId="47" fillId="0" borderId="0" xfId="3" applyFont="1" applyAlignment="1">
      <alignment horizontal="center"/>
    </xf>
    <xf numFmtId="0" fontId="80" fillId="0" borderId="0" xfId="2" applyFont="1" applyAlignment="1">
      <alignment horizontal="center"/>
    </xf>
    <xf numFmtId="167" fontId="16" fillId="9" borderId="12" xfId="11" applyNumberFormat="1" applyFont="1" applyFill="1" applyBorder="1" applyAlignment="1">
      <alignment horizontal="center"/>
    </xf>
    <xf numFmtId="167" fontId="16" fillId="9" borderId="12" xfId="4" applyNumberFormat="1" applyFont="1" applyFill="1" applyBorder="1" applyAlignment="1">
      <alignment horizontal="center"/>
    </xf>
    <xf numFmtId="165" fontId="16" fillId="0" borderId="0" xfId="0" applyNumberFormat="1" applyFont="1" applyAlignment="1">
      <alignment horizontal="center"/>
    </xf>
    <xf numFmtId="2" fontId="17" fillId="5" borderId="23" xfId="0" applyNumberFormat="1" applyFont="1" applyFill="1" applyBorder="1" applyAlignment="1">
      <alignment horizontal="left"/>
    </xf>
    <xf numFmtId="189" fontId="16" fillId="5" borderId="23" xfId="0" applyNumberFormat="1" applyFont="1" applyFill="1" applyBorder="1" applyAlignment="1">
      <alignment horizontal="right"/>
    </xf>
    <xf numFmtId="189" fontId="17" fillId="5" borderId="35" xfId="0" applyNumberFormat="1" applyFont="1" applyFill="1" applyBorder="1" applyAlignment="1">
      <alignment horizontal="right"/>
    </xf>
    <xf numFmtId="2" fontId="17" fillId="5" borderId="33" xfId="0" applyNumberFormat="1" applyFont="1" applyFill="1" applyBorder="1" applyAlignment="1">
      <alignment horizontal="left"/>
    </xf>
    <xf numFmtId="189" fontId="16" fillId="5" borderId="33" xfId="0" applyNumberFormat="1" applyFont="1" applyFill="1" applyBorder="1" applyAlignment="1">
      <alignment horizontal="right"/>
    </xf>
    <xf numFmtId="189" fontId="17" fillId="5" borderId="44" xfId="0" applyNumberFormat="1" applyFont="1" applyFill="1" applyBorder="1" applyAlignment="1">
      <alignment horizontal="right"/>
    </xf>
    <xf numFmtId="0" fontId="0" fillId="8" borderId="89" xfId="0" applyFill="1" applyBorder="1" applyAlignment="1">
      <alignment horizontal="left"/>
    </xf>
    <xf numFmtId="0" fontId="0" fillId="8" borderId="90" xfId="0" applyFill="1" applyBorder="1" applyAlignment="1">
      <alignment horizontal="left"/>
    </xf>
    <xf numFmtId="0" fontId="0" fillId="8" borderId="91" xfId="0" applyFill="1" applyBorder="1" applyAlignment="1">
      <alignment horizontal="left"/>
    </xf>
    <xf numFmtId="189" fontId="16" fillId="0" borderId="64" xfId="0" applyNumberFormat="1" applyFont="1" applyBorder="1" applyAlignment="1">
      <alignment horizontal="right"/>
    </xf>
    <xf numFmtId="189" fontId="16" fillId="0" borderId="21" xfId="0" applyNumberFormat="1" applyFont="1" applyBorder="1" applyAlignment="1">
      <alignment horizontal="right"/>
    </xf>
    <xf numFmtId="189" fontId="16" fillId="5" borderId="35" xfId="0" applyNumberFormat="1" applyFont="1" applyFill="1" applyBorder="1" applyAlignment="1">
      <alignment horizontal="right"/>
    </xf>
    <xf numFmtId="189" fontId="16" fillId="5" borderId="44" xfId="0" applyNumberFormat="1" applyFont="1" applyFill="1" applyBorder="1" applyAlignment="1">
      <alignment horizontal="right"/>
    </xf>
    <xf numFmtId="194" fontId="17" fillId="5" borderId="33" xfId="0" applyNumberFormat="1" applyFont="1" applyFill="1" applyBorder="1" applyAlignment="1">
      <alignment horizontal="right"/>
    </xf>
    <xf numFmtId="0" fontId="16" fillId="5" borderId="89" xfId="0" applyFont="1" applyFill="1" applyBorder="1"/>
    <xf numFmtId="0" fontId="16" fillId="5" borderId="90" xfId="0" applyFont="1" applyFill="1" applyBorder="1"/>
    <xf numFmtId="194" fontId="17" fillId="5" borderId="23" xfId="0" applyNumberFormat="1" applyFont="1" applyFill="1" applyBorder="1" applyAlignment="1">
      <alignment horizontal="right"/>
    </xf>
    <xf numFmtId="194" fontId="16" fillId="0" borderId="64" xfId="0" applyNumberFormat="1" applyFont="1" applyBorder="1" applyAlignment="1">
      <alignment horizontal="right"/>
    </xf>
    <xf numFmtId="194" fontId="16" fillId="0" borderId="21" xfId="0" applyNumberFormat="1" applyFont="1" applyBorder="1" applyAlignment="1">
      <alignment horizontal="right"/>
    </xf>
    <xf numFmtId="194" fontId="16" fillId="5" borderId="35" xfId="0" applyNumberFormat="1" applyFont="1" applyFill="1" applyBorder="1" applyAlignment="1">
      <alignment horizontal="right"/>
    </xf>
    <xf numFmtId="194" fontId="16" fillId="5" borderId="44" xfId="0" applyNumberFormat="1" applyFont="1" applyFill="1" applyBorder="1" applyAlignment="1">
      <alignment horizontal="right"/>
    </xf>
    <xf numFmtId="194" fontId="16" fillId="0" borderId="63" xfId="0" applyNumberFormat="1" applyFont="1" applyBorder="1" applyAlignment="1">
      <alignment horizontal="right"/>
    </xf>
    <xf numFmtId="194" fontId="16" fillId="0" borderId="56" xfId="0" applyNumberFormat="1" applyFont="1" applyBorder="1" applyAlignment="1">
      <alignment horizontal="right"/>
    </xf>
    <xf numFmtId="194" fontId="16" fillId="5" borderId="79" xfId="0" applyNumberFormat="1" applyFont="1" applyFill="1" applyBorder="1" applyAlignment="1">
      <alignment horizontal="right"/>
    </xf>
    <xf numFmtId="194" fontId="16" fillId="5" borderId="42" xfId="0" applyNumberFormat="1" applyFont="1" applyFill="1" applyBorder="1" applyAlignment="1">
      <alignment horizontal="right"/>
    </xf>
    <xf numFmtId="185" fontId="0" fillId="0" borderId="0" xfId="0" applyNumberFormat="1"/>
    <xf numFmtId="2" fontId="17" fillId="0" borderId="0" xfId="4" applyNumberFormat="1" applyFont="1" applyAlignment="1">
      <alignment vertical="center"/>
    </xf>
    <xf numFmtId="186" fontId="17" fillId="0" borderId="19" xfId="0" applyNumberFormat="1" applyFont="1" applyBorder="1" applyAlignment="1">
      <alignment horizontal="right"/>
    </xf>
    <xf numFmtId="0" fontId="53" fillId="0" borderId="0" xfId="0" applyFont="1" applyAlignment="1">
      <alignment horizontal="left"/>
    </xf>
    <xf numFmtId="0" fontId="53" fillId="0" borderId="0" xfId="0" applyFont="1" applyAlignment="1">
      <alignment horizontal="right"/>
    </xf>
    <xf numFmtId="186" fontId="16" fillId="13" borderId="0" xfId="0" applyNumberFormat="1" applyFont="1" applyFill="1" applyAlignment="1">
      <alignment horizontal="right" vertical="center"/>
    </xf>
    <xf numFmtId="186" fontId="60" fillId="0" borderId="0" xfId="0" applyNumberFormat="1" applyFont="1" applyAlignment="1">
      <alignment horizontal="right" vertical="center"/>
    </xf>
    <xf numFmtId="186" fontId="16" fillId="0" borderId="0" xfId="0" applyNumberFormat="1" applyFont="1" applyAlignment="1">
      <alignment horizontal="center" vertical="center"/>
    </xf>
    <xf numFmtId="186" fontId="17" fillId="0" borderId="53" xfId="0" applyNumberFormat="1" applyFont="1" applyBorder="1" applyAlignment="1">
      <alignment horizontal="right"/>
    </xf>
    <xf numFmtId="0" fontId="29" fillId="0" borderId="0" xfId="0" applyFont="1" applyAlignment="1">
      <alignment vertical="center"/>
    </xf>
    <xf numFmtId="0" fontId="38" fillId="0" borderId="0" xfId="2" applyAlignment="1">
      <alignment horizontal="left" vertical="center"/>
    </xf>
    <xf numFmtId="0" fontId="35" fillId="0" borderId="0" xfId="0" applyFont="1" applyAlignment="1">
      <alignment vertical="center"/>
    </xf>
    <xf numFmtId="171" fontId="72" fillId="0" borderId="0" xfId="0" applyNumberFormat="1" applyFont="1" applyAlignment="1">
      <alignment horizontal="left" vertical="center"/>
    </xf>
    <xf numFmtId="0" fontId="44" fillId="0" borderId="0" xfId="0" applyFont="1" applyAlignment="1">
      <alignment horizontal="left" vertical="center" readingOrder="1"/>
    </xf>
    <xf numFmtId="0" fontId="69" fillId="0" borderId="0" xfId="0" applyFont="1" applyAlignment="1">
      <alignment horizontal="left" vertical="center" readingOrder="1"/>
    </xf>
    <xf numFmtId="0" fontId="44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166" fontId="16" fillId="0" borderId="0" xfId="0" applyNumberFormat="1" applyFont="1" applyAlignment="1">
      <alignment horizontal="center" vertical="center"/>
    </xf>
    <xf numFmtId="165" fontId="16" fillId="0" borderId="0" xfId="0" applyNumberFormat="1" applyFont="1" applyAlignment="1">
      <alignment horizontal="left" vertical="center"/>
    </xf>
    <xf numFmtId="0" fontId="81" fillId="0" borderId="0" xfId="0" applyFont="1" applyAlignment="1">
      <alignment vertical="center"/>
    </xf>
    <xf numFmtId="0" fontId="17" fillId="5" borderId="6" xfId="0" applyFont="1" applyFill="1" applyBorder="1" applyAlignment="1">
      <alignment horizontal="center" wrapText="1"/>
    </xf>
    <xf numFmtId="0" fontId="17" fillId="5" borderId="4" xfId="0" applyFont="1" applyFill="1" applyBorder="1" applyAlignment="1">
      <alignment horizontal="center" wrapText="1"/>
    </xf>
    <xf numFmtId="0" fontId="27" fillId="0" borderId="11" xfId="0" applyFont="1" applyBorder="1" applyAlignment="1">
      <alignment horizontal="center" vertical="center"/>
    </xf>
    <xf numFmtId="179" fontId="0" fillId="5" borderId="14" xfId="2" applyNumberFormat="1" applyFont="1" applyFill="1" applyBorder="1" applyAlignment="1">
      <alignment horizontal="center" wrapText="1"/>
    </xf>
    <xf numFmtId="179" fontId="0" fillId="5" borderId="16" xfId="2" applyNumberFormat="1" applyFont="1" applyFill="1" applyBorder="1" applyAlignment="1">
      <alignment horizontal="center" wrapText="1"/>
    </xf>
    <xf numFmtId="167" fontId="16" fillId="2" borderId="12" xfId="0" applyNumberFormat="1" applyFont="1" applyFill="1" applyBorder="1" applyAlignment="1">
      <alignment horizontal="left"/>
    </xf>
    <xf numFmtId="0" fontId="27" fillId="0" borderId="0" xfId="0" applyFont="1" applyAlignment="1">
      <alignment horizontal="left"/>
    </xf>
    <xf numFmtId="0" fontId="82" fillId="0" borderId="0" xfId="0" applyFont="1"/>
    <xf numFmtId="0" fontId="54" fillId="0" borderId="6" xfId="0" applyFont="1" applyBorder="1"/>
    <xf numFmtId="0" fontId="1" fillId="0" borderId="0" xfId="0" applyFont="1" applyAlignment="1">
      <alignment horizontal="left"/>
    </xf>
    <xf numFmtId="0" fontId="17" fillId="0" borderId="5" xfId="0" applyFont="1" applyBorder="1"/>
    <xf numFmtId="173" fontId="17" fillId="0" borderId="0" xfId="0" applyNumberFormat="1" applyFont="1" applyAlignment="1">
      <alignment horizontal="right"/>
    </xf>
    <xf numFmtId="173" fontId="17" fillId="0" borderId="5" xfId="0" applyNumberFormat="1" applyFont="1" applyBorder="1" applyAlignment="1">
      <alignment horizontal="right"/>
    </xf>
    <xf numFmtId="0" fontId="49" fillId="4" borderId="9" xfId="0" applyFont="1" applyFill="1" applyBorder="1"/>
    <xf numFmtId="0" fontId="20" fillId="0" borderId="0" xfId="0" applyFont="1"/>
    <xf numFmtId="7" fontId="20" fillId="0" borderId="0" xfId="0" applyNumberFormat="1" applyFont="1"/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0" fontId="1" fillId="0" borderId="0" xfId="2" applyFont="1" applyAlignment="1">
      <alignment horizontal="left"/>
    </xf>
    <xf numFmtId="0" fontId="1" fillId="0" borderId="0" xfId="2" applyFont="1" applyAlignment="1">
      <alignment vertical="center"/>
    </xf>
    <xf numFmtId="1" fontId="12" fillId="0" borderId="0" xfId="0" applyNumberFormat="1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79" fontId="12" fillId="0" borderId="5" xfId="0" applyNumberFormat="1" applyFont="1" applyBorder="1"/>
    <xf numFmtId="0" fontId="1" fillId="5" borderId="39" xfId="2" applyFont="1" applyFill="1" applyBorder="1" applyAlignment="1">
      <alignment horizontal="left"/>
    </xf>
    <xf numFmtId="0" fontId="1" fillId="5" borderId="25" xfId="2" applyFont="1" applyFill="1" applyBorder="1" applyAlignment="1">
      <alignment horizontal="center"/>
    </xf>
    <xf numFmtId="179" fontId="1" fillId="5" borderId="26" xfId="2" applyNumberFormat="1" applyFont="1" applyFill="1" applyBorder="1" applyAlignment="1">
      <alignment horizontal="right"/>
    </xf>
    <xf numFmtId="0" fontId="1" fillId="5" borderId="24" xfId="2" applyFont="1" applyFill="1" applyBorder="1" applyAlignment="1">
      <alignment horizontal="left"/>
    </xf>
    <xf numFmtId="0" fontId="1" fillId="5" borderId="23" xfId="2" applyFont="1" applyFill="1" applyBorder="1" applyAlignment="1">
      <alignment horizontal="center"/>
    </xf>
    <xf numFmtId="3" fontId="1" fillId="5" borderId="25" xfId="2" applyNumberFormat="1" applyFont="1" applyFill="1" applyBorder="1" applyAlignment="1">
      <alignment horizontal="center"/>
    </xf>
    <xf numFmtId="179" fontId="1" fillId="5" borderId="37" xfId="2" applyNumberFormat="1" applyFont="1" applyFill="1" applyBorder="1" applyAlignment="1">
      <alignment horizontal="right"/>
    </xf>
    <xf numFmtId="0" fontId="12" fillId="0" borderId="0" xfId="0" applyFont="1" applyAlignment="1">
      <alignment vertical="center"/>
    </xf>
    <xf numFmtId="1" fontId="12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0" fontId="45" fillId="13" borderId="0" xfId="4" applyFont="1" applyFill="1" applyAlignment="1">
      <alignment horizontal="left"/>
    </xf>
    <xf numFmtId="0" fontId="0" fillId="13" borderId="0" xfId="0" applyFill="1"/>
    <xf numFmtId="179" fontId="17" fillId="0" borderId="5" xfId="0" applyNumberFormat="1" applyFont="1" applyBorder="1" applyAlignment="1">
      <alignment horizontal="center"/>
    </xf>
    <xf numFmtId="179" fontId="17" fillId="0" borderId="2" xfId="0" applyNumberFormat="1" applyFont="1" applyBorder="1" applyAlignment="1">
      <alignment horizontal="center"/>
    </xf>
    <xf numFmtId="179" fontId="17" fillId="0" borderId="14" xfId="0" applyNumberFormat="1" applyFont="1" applyBorder="1" applyAlignment="1">
      <alignment horizontal="center"/>
    </xf>
    <xf numFmtId="179" fontId="17" fillId="0" borderId="16" xfId="0" applyNumberFormat="1" applyFont="1" applyBorder="1" applyAlignment="1">
      <alignment horizontal="center"/>
    </xf>
    <xf numFmtId="179" fontId="17" fillId="0" borderId="64" xfId="0" applyNumberFormat="1" applyFont="1" applyBorder="1" applyAlignment="1">
      <alignment horizontal="center"/>
    </xf>
    <xf numFmtId="179" fontId="17" fillId="0" borderId="21" xfId="0" applyNumberFormat="1" applyFont="1" applyBorder="1" applyAlignment="1">
      <alignment horizontal="center"/>
    </xf>
    <xf numFmtId="0" fontId="0" fillId="5" borderId="92" xfId="0" applyFill="1" applyBorder="1" applyAlignment="1">
      <alignment horizontal="center"/>
    </xf>
    <xf numFmtId="0" fontId="0" fillId="5" borderId="83" xfId="0" applyFill="1" applyBorder="1" applyAlignment="1">
      <alignment horizontal="center"/>
    </xf>
    <xf numFmtId="179" fontId="17" fillId="5" borderId="29" xfId="0" applyNumberFormat="1" applyFont="1" applyFill="1" applyBorder="1" applyAlignment="1">
      <alignment horizontal="center"/>
    </xf>
    <xf numFmtId="0" fontId="17" fillId="5" borderId="27" xfId="0" quotePrefix="1" applyFont="1" applyFill="1" applyBorder="1" applyAlignment="1">
      <alignment horizontal="center"/>
    </xf>
    <xf numFmtId="0" fontId="0" fillId="5" borderId="46" xfId="0" applyFill="1" applyBorder="1" applyAlignment="1">
      <alignment horizontal="center"/>
    </xf>
    <xf numFmtId="179" fontId="17" fillId="5" borderId="46" xfId="0" applyNumberFormat="1" applyFont="1" applyFill="1" applyBorder="1" applyAlignment="1">
      <alignment horizontal="center"/>
    </xf>
    <xf numFmtId="0" fontId="17" fillId="5" borderId="30" xfId="0" quotePrefix="1" applyFont="1" applyFill="1" applyBorder="1" applyAlignment="1">
      <alignment horizontal="center"/>
    </xf>
    <xf numFmtId="0" fontId="0" fillId="5" borderId="47" xfId="0" applyFill="1" applyBorder="1" applyAlignment="1">
      <alignment horizontal="center"/>
    </xf>
    <xf numFmtId="179" fontId="17" fillId="5" borderId="47" xfId="0" applyNumberFormat="1" applyFont="1" applyFill="1" applyBorder="1" applyAlignment="1">
      <alignment horizontal="center"/>
    </xf>
    <xf numFmtId="179" fontId="17" fillId="5" borderId="32" xfId="0" applyNumberFormat="1" applyFont="1" applyFill="1" applyBorder="1" applyAlignment="1">
      <alignment horizontal="center"/>
    </xf>
    <xf numFmtId="0" fontId="57" fillId="0" borderId="13" xfId="2" applyFont="1" applyBorder="1" applyAlignment="1">
      <alignment horizontal="center" vertical="center"/>
    </xf>
    <xf numFmtId="0" fontId="57" fillId="0" borderId="15" xfId="2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7" fillId="0" borderId="68" xfId="0" applyFont="1" applyBorder="1" applyAlignment="1">
      <alignment horizontal="left"/>
    </xf>
    <xf numFmtId="0" fontId="27" fillId="0" borderId="55" xfId="0" applyFont="1" applyBorder="1" applyAlignment="1">
      <alignment horizontal="left"/>
    </xf>
    <xf numFmtId="0" fontId="14" fillId="0" borderId="13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21" xfId="5" applyFont="1" applyBorder="1" applyAlignment="1">
      <alignment horizontal="center" vertical="center"/>
    </xf>
    <xf numFmtId="0" fontId="14" fillId="0" borderId="34" xfId="5" applyFont="1" applyBorder="1" applyAlignment="1">
      <alignment horizontal="center" vertical="center"/>
    </xf>
    <xf numFmtId="0" fontId="45" fillId="13" borderId="0" xfId="4" applyFont="1" applyFill="1" applyAlignment="1">
      <alignment horizontal="center"/>
    </xf>
    <xf numFmtId="170" fontId="17" fillId="5" borderId="19" xfId="0" applyNumberFormat="1" applyFont="1" applyFill="1" applyBorder="1" applyAlignment="1">
      <alignment horizontal="center" vertical="center"/>
    </xf>
    <xf numFmtId="170" fontId="17" fillId="0" borderId="19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69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27" fillId="0" borderId="6" xfId="0" applyFont="1" applyBorder="1" applyAlignment="1">
      <alignment horizontal="left" vertical="center"/>
    </xf>
    <xf numFmtId="0" fontId="27" fillId="0" borderId="11" xfId="0" applyFont="1" applyBorder="1" applyAlignment="1">
      <alignment horizontal="left" vertical="center"/>
    </xf>
    <xf numFmtId="0" fontId="27" fillId="0" borderId="21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</cellXfs>
  <cellStyles count="12">
    <cellStyle name="Comma" xfId="1" builtinId="3"/>
    <cellStyle name="Normal" xfId="0" builtinId="0"/>
    <cellStyle name="Normal 2" xfId="2" xr:uid="{901AD1BE-DB9A-4D0D-B2B9-FCD3D3357B11}"/>
    <cellStyle name="Normal 2 2" xfId="4" xr:uid="{2A908840-A2CE-4866-99C0-86420927BD28}"/>
    <cellStyle name="Normal 2 3" xfId="7" xr:uid="{FABC6BA9-BEBF-4DE6-AA70-76BD008520DF}"/>
    <cellStyle name="Normal 2 3 2" xfId="9" xr:uid="{DF0AB0FF-D6E7-40E6-A67E-842CD335A2E4}"/>
    <cellStyle name="Normal 2 4" xfId="11" xr:uid="{DCF587A4-0713-49CF-A9A3-1F179BC28A8A}"/>
    <cellStyle name="Normal 4" xfId="5" xr:uid="{898DEBCB-C195-4CF5-8FA0-22E33C0BAF0C}"/>
    <cellStyle name="Percent" xfId="6" builtinId="5"/>
    <cellStyle name="Percent 2" xfId="3" xr:uid="{2FCC8155-C0C8-4565-A33B-1A760582CAFC}"/>
    <cellStyle name="Percent 2 2" xfId="8" xr:uid="{89DBAD65-652C-4DD2-88E0-9587F03E3A03}"/>
    <cellStyle name="Percent 2 2 2" xfId="10" xr:uid="{C5A01065-62F1-4D5E-84E9-6646DC307759}"/>
  </cellStyles>
  <dxfs count="3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none">
          <fgColor indexed="64"/>
          <bgColor indexed="65"/>
        </patternFill>
      </fill>
    </dxf>
  </dxfs>
  <tableStyles count="1" defaultTableStyle="TableStyleMedium2" defaultPivotStyle="PivotStyleLight16">
    <tableStyle name="Invisible" pivot="0" table="0" count="0" xr9:uid="{8D570096-1DF4-4FAE-A8BC-B5DEF451B0CE}"/>
  </tableStyles>
  <colors>
    <mruColors>
      <color rgb="FFE6E6E6"/>
      <color rgb="FFE4E4E4"/>
      <color rgb="FF0000E1"/>
      <color rgb="FF99FF99"/>
      <color rgb="FF008000"/>
      <color rgb="FFABFFAB"/>
      <color rgb="FF010B35"/>
      <color rgb="FFFFFFCC"/>
      <color rgb="FFA3FFA3"/>
      <color rgb="FFF3F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18052" y="262693"/>
    <xdr:ext cx="1241931" cy="1278553"/>
    <xdr:pic>
      <xdr:nvPicPr>
        <xdr:cNvPr id="2" name="Picture 1">
          <a:extLst>
            <a:ext uri="{FF2B5EF4-FFF2-40B4-BE49-F238E27FC236}">
              <a16:creationId xmlns:a16="http://schemas.microsoft.com/office/drawing/2014/main" id="{86A7A092-6558-44C4-872B-2EB9B34AA8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895" t="8669" r="16842" b="5834"/>
        <a:stretch/>
      </xdr:blipFill>
      <xdr:spPr>
        <a:xfrm>
          <a:off x="318052" y="262693"/>
          <a:ext cx="1241931" cy="1278553"/>
        </a:xfrm>
        <a:prstGeom prst="rect">
          <a:avLst/>
        </a:prstGeom>
      </xdr:spPr>
    </xdr:pic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Ben Bryer" id="{10CD4A09-BBBF-4211-9201-1B02EB0F4133}" userId="7964841f1ef2847f" providerId="Windows Live"/>
  <person displayName="Ben Bryer" id="{1C83BDDD-8588-469D-AF67-4D2C589ADF85}" userId="S-1-5-21-1612702470-4241125502-2879973588-2155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3" dT="2025-01-22T00:48:39.31" personId="{1C83BDDD-8588-469D-AF67-4D2C589ADF85}" id="{C89FBC62-8387-4D04-BFCC-492F49DFB489}">
    <text>CL. Z: ranges should begin with .001” (whole-thou) size and end with .0005” (half-thou) size
CL. X: ranges should begin with .001” (whole-thou) size and end with .0009”</text>
  </threadedComment>
  <threadedComment ref="C19" dT="2025-02-16T03:32:23.18" personId="{1C83BDDD-8588-469D-AF67-4D2C589ADF85}" id="{9FB1F3BC-5815-4736-9BE4-0CB87933CFF2}">
    <text>Blades are used down to .030”</text>
  </threadedComment>
  <threadedComment ref="C20" dT="2025-02-16T02:24:15.11" personId="{1C83BDDD-8588-469D-AF67-4D2C589ADF85}" id="{5B325670-79AA-45BE-803F-79EA8B113E90}">
    <text>Sizes &lt;=.075” are fed by hand, one at a time</text>
  </threadedComment>
  <threadedComment ref="F27" dT="2024-12-31T23:50:50.16" personId="{1C83BDDD-8588-469D-AF67-4D2C589ADF85}" id="{C604B7DD-9E3F-4BB0-B58A-5C4215566F04}">
    <text>M81MM goes up to 25.41</text>
  </threadedComment>
  <threadedComment ref="F44" dT="2024-12-31T23:50:50.16" personId="{1C83BDDD-8588-469D-AF67-4D2C589ADF85}" id="{DF9FFD9A-5018-4747-ADCD-6FFFF506BFD3}">
    <text>M81MM goes up to 25.41</text>
  </threadedComment>
  <threadedComment ref="F61" dT="2024-12-31T23:50:50.16" personId="{1C83BDDD-8588-469D-AF67-4D2C589ADF85}" id="{FE1EFA9A-7E18-4EDB-AD1B-9A816D524BDF}">
    <text>M81MM goes up to 25.41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O14" dT="2025-01-19T07:38:28.05" personId="{1C83BDDD-8588-469D-AF67-4D2C589ADF85}" id="{1461B266-1872-4EB8-A80F-1892E87A4FEF}">
    <text>Revise McMaster’s discount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F18" dT="2025-01-22T00:48:39.31" personId="{1C83BDDD-8588-469D-AF67-4D2C589ADF85}" id="{EEF15A24-8EC0-47D5-A8EE-B612460DF046}">
    <text>CL. Z: ranges should begin with .001” (whole-thou) size and end with .0005” (half-thou) size
CL. X: ranges should begin with .001” (whole-thou) size and end with .0009”</text>
  </threadedComment>
  <threadedComment ref="AC24" dT="2025-02-22T00:03:37.96" personId="{1C83BDDD-8588-469D-AF67-4D2C589ADF85}" id="{6C460996-CABF-4B89-89E0-C812C0E46E3F}">
    <text>Effective for McMaster 3/17 (35% discount)</text>
  </threadedComment>
  <threadedComment ref="J32" dT="2024-12-31T23:50:50.16" personId="{1C83BDDD-8588-469D-AF67-4D2C589ADF85}" id="{3695168B-1B5C-4684-B3D0-6185E45ED082}">
    <text>M81MM goes up to 25.41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F13" dT="2025-01-22T00:48:39.31" personId="{1C83BDDD-8588-469D-AF67-4D2C589ADF85}" id="{08F0C6AD-F2A5-4D52-B380-CD77345350E6}">
    <text>CL. Z: ranges should begin with .001” (whole-thou) size and end with .0005” (half-thou) size
CL. X: ranges should begin with .001” (whole-thou) size and end with .0009”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F13" dT="2025-01-22T00:48:39.31" personId="{1C83BDDD-8588-469D-AF67-4D2C589ADF85}" id="{46B0886D-82E3-4EB4-8530-66B44534ECCB}">
    <text>CL. Z: ranges should begin with .001” (whole-thou) size and end with .0005” (half-thou) size
CL. X: ranges should begin with .001” (whole-thou) size and end with .0009”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Y13" dT="2025-02-02T19:51:12.19" personId="{10CD4A09-BBBF-4211-9201-1B02EB0F4133}" id="{95DB542E-978C-4E09-89E0-76AE692356DB}">
    <text>VG distributor discount</text>
  </threadedComment>
  <threadedComment ref="Y14" dT="2025-02-02T19:51:54.50" personId="{10CD4A09-BBBF-4211-9201-1B02EB0F4133}" id="{33FC1465-0517-4ABA-8CB2-691FCABFF9F8}">
    <text>MG distributor discount</text>
  </threadedComment>
  <threadedComment ref="Y15" dT="2025-01-22T02:22:49.81" personId="{1C83BDDD-8588-469D-AF67-4D2C589ADF85}" id="{C7CAD648-ADDF-4603-9292-06F13F8220C0}">
    <text>Chrome premium to steel (to differentiate pricing structure from VG)</text>
  </threadedComment>
  <threadedComment ref="T20" dT="2025-01-22T02:38:36.26" personId="{1C83BDDD-8588-469D-AF67-4D2C589ADF85}" id="{455DC78F-AB12-4C00-8A08-3709AF4A36AF}">
    <text xml:space="preserve">Vermont Prices .0600” to .0700”
</text>
  </threadedComment>
  <threadedComment ref="V48" dT="2025-01-22T02:39:30.27" personId="{1C83BDDD-8588-469D-AF67-4D2C589ADF85}" id="{4BF3A917-1429-443D-B8B9-A76C7BA6E076}">
    <text>Average of two Vermont size ranges:
1) 1.1351” - 1.3350”
2) 1.3351” to 1.5100”</text>
  </threadedComment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J9" dT="2025-01-20T02:57:18.64" personId="{1C83BDDD-8588-469D-AF67-4D2C589ADF85}" id="{569677E0-81D7-4B54-B93B-2E09BF0A05D3}">
    <text>Discount to DE price</text>
  </threadedComment>
</ThreadedComment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Relationship Id="rId4" Type="http://schemas.microsoft.com/office/2017/10/relationships/threadedComment" Target="../threadedComments/threadedComment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Relationship Id="rId4" Type="http://schemas.microsoft.com/office/2017/10/relationships/threadedComment" Target="../threadedComments/threadedComment3.xml"/></Relationships>
</file>

<file path=xl/worksheets/_rels/sheet16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4.xml"/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17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5.xml"/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Relationship Id="rId4" Type="http://schemas.microsoft.com/office/2017/10/relationships/threadedComment" Target="../threadedComments/threadedComment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7.xml"/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BE309-0AA8-49F8-B805-A124C02AE43B}">
  <sheetPr filterMode="1"/>
  <dimension ref="B1:I92"/>
  <sheetViews>
    <sheetView zoomScale="90" zoomScaleNormal="90" workbookViewId="0">
      <pane ySplit="5" topLeftCell="A6" activePane="bottomLeft" state="frozen"/>
      <selection pane="bottomLeft" activeCell="H45" sqref="H45"/>
    </sheetView>
  </sheetViews>
  <sheetFormatPr defaultRowHeight="15" x14ac:dyDescent="0.25"/>
  <cols>
    <col min="1" max="1" width="1.7109375" customWidth="1"/>
    <col min="2" max="2" width="22" style="3" customWidth="1"/>
    <col min="3" max="3" width="48.42578125" style="3" customWidth="1"/>
    <col min="4" max="6" width="21.140625" style="3" customWidth="1"/>
    <col min="7" max="7" width="26.7109375" style="3" customWidth="1"/>
    <col min="8" max="8" width="21.140625" style="3" customWidth="1"/>
    <col min="9" max="9" width="9.140625" style="3"/>
  </cols>
  <sheetData>
    <row r="1" spans="2:7" ht="6" customHeight="1" x14ac:dyDescent="0.25"/>
    <row r="2" spans="2:7" ht="18.75" x14ac:dyDescent="0.3">
      <c r="B2" s="616" t="s">
        <v>782</v>
      </c>
    </row>
    <row r="3" spans="2:7" x14ac:dyDescent="0.25">
      <c r="B3" s="738">
        <v>45673</v>
      </c>
    </row>
    <row r="5" spans="2:7" x14ac:dyDescent="0.25">
      <c r="B5" s="40" t="s">
        <v>783</v>
      </c>
      <c r="C5" s="40" t="s">
        <v>784</v>
      </c>
      <c r="D5" s="40" t="s">
        <v>785</v>
      </c>
      <c r="E5" s="40" t="s">
        <v>786</v>
      </c>
      <c r="F5" s="40" t="s">
        <v>787</v>
      </c>
      <c r="G5" s="40" t="s">
        <v>788</v>
      </c>
    </row>
    <row r="6" spans="2:7" x14ac:dyDescent="0.25">
      <c r="B6" s="3">
        <v>100</v>
      </c>
      <c r="C6" s="3" t="s">
        <v>789</v>
      </c>
      <c r="D6" s="3" t="s">
        <v>790</v>
      </c>
      <c r="E6" s="739">
        <v>38091.418877314813</v>
      </c>
      <c r="F6" s="739">
        <v>45656.213440046296</v>
      </c>
      <c r="G6" s="3" t="s">
        <v>791</v>
      </c>
    </row>
    <row r="7" spans="2:7" x14ac:dyDescent="0.25">
      <c r="B7" s="3">
        <v>101</v>
      </c>
      <c r="C7" s="3" t="s">
        <v>792</v>
      </c>
      <c r="D7" s="3" t="s">
        <v>790</v>
      </c>
      <c r="E7" s="739">
        <v>45172.650322106485</v>
      </c>
      <c r="F7" s="739">
        <v>45656.213689270837</v>
      </c>
      <c r="G7" s="3" t="s">
        <v>791</v>
      </c>
    </row>
    <row r="8" spans="2:7" x14ac:dyDescent="0.25">
      <c r="B8" s="3">
        <v>105</v>
      </c>
      <c r="C8" s="3" t="s">
        <v>793</v>
      </c>
      <c r="D8" s="3" t="s">
        <v>790</v>
      </c>
      <c r="E8" s="739">
        <v>39930.603726851848</v>
      </c>
      <c r="F8" s="739">
        <v>45403.498333796299</v>
      </c>
      <c r="G8" s="3" t="s">
        <v>794</v>
      </c>
    </row>
    <row r="9" spans="2:7" x14ac:dyDescent="0.25">
      <c r="B9" s="3">
        <v>106</v>
      </c>
      <c r="C9" s="3" t="s">
        <v>729</v>
      </c>
      <c r="D9" s="3" t="s">
        <v>790</v>
      </c>
      <c r="E9" s="739">
        <v>40087.467627314814</v>
      </c>
      <c r="F9" s="739">
        <v>45403.498726620368</v>
      </c>
      <c r="G9" s="3" t="s">
        <v>794</v>
      </c>
    </row>
    <row r="10" spans="2:7" hidden="1" x14ac:dyDescent="0.25">
      <c r="B10" s="740">
        <v>110</v>
      </c>
      <c r="C10" s="740" t="s">
        <v>795</v>
      </c>
      <c r="D10" s="740" t="s">
        <v>790</v>
      </c>
      <c r="E10" s="741">
        <v>38091.418877314813</v>
      </c>
      <c r="F10" s="741">
        <v>45656.213910648148</v>
      </c>
      <c r="G10" s="740" t="s">
        <v>791</v>
      </c>
    </row>
    <row r="11" spans="2:7" x14ac:dyDescent="0.25">
      <c r="B11" s="3">
        <v>115</v>
      </c>
      <c r="C11" s="3" t="s">
        <v>796</v>
      </c>
      <c r="D11" s="3" t="s">
        <v>790</v>
      </c>
      <c r="E11" s="739">
        <v>38155.924803240741</v>
      </c>
      <c r="F11" s="739">
        <v>45656.214072222225</v>
      </c>
      <c r="G11" s="3" t="s">
        <v>791</v>
      </c>
    </row>
    <row r="12" spans="2:7" x14ac:dyDescent="0.25">
      <c r="B12" s="3">
        <v>120</v>
      </c>
      <c r="C12" s="3" t="s">
        <v>129</v>
      </c>
      <c r="D12" s="3" t="s">
        <v>790</v>
      </c>
      <c r="E12" s="739">
        <v>38091.418877314813</v>
      </c>
      <c r="F12" s="739">
        <v>45656.214230868056</v>
      </c>
      <c r="G12" s="3" t="s">
        <v>791</v>
      </c>
    </row>
    <row r="13" spans="2:7" x14ac:dyDescent="0.25">
      <c r="B13" s="3">
        <v>130</v>
      </c>
      <c r="C13" s="3" t="s">
        <v>797</v>
      </c>
      <c r="D13" s="3" t="s">
        <v>790</v>
      </c>
      <c r="E13" s="739">
        <v>38091.418877314813</v>
      </c>
      <c r="F13" s="739">
        <v>45656.214378356482</v>
      </c>
      <c r="G13" s="3" t="s">
        <v>791</v>
      </c>
    </row>
    <row r="14" spans="2:7" hidden="1" x14ac:dyDescent="0.25">
      <c r="B14" s="740">
        <v>140</v>
      </c>
      <c r="C14" s="740" t="s">
        <v>798</v>
      </c>
      <c r="D14" s="740" t="s">
        <v>790</v>
      </c>
      <c r="E14" s="741">
        <v>38091.418877314813</v>
      </c>
      <c r="F14" s="741">
        <v>45656.214546990741</v>
      </c>
      <c r="G14" s="740" t="s">
        <v>791</v>
      </c>
    </row>
    <row r="15" spans="2:7" x14ac:dyDescent="0.25">
      <c r="B15" s="3">
        <v>145</v>
      </c>
      <c r="C15" s="3" t="s">
        <v>799</v>
      </c>
      <c r="D15" s="3" t="s">
        <v>790</v>
      </c>
      <c r="E15" s="739">
        <v>38156.380196759259</v>
      </c>
      <c r="F15" s="739">
        <v>45656.214690821762</v>
      </c>
      <c r="G15" s="3" t="s">
        <v>791</v>
      </c>
    </row>
    <row r="16" spans="2:7" x14ac:dyDescent="0.25">
      <c r="B16" s="3">
        <v>150</v>
      </c>
      <c r="C16" s="3" t="s">
        <v>800</v>
      </c>
      <c r="D16" s="3" t="s">
        <v>790</v>
      </c>
      <c r="E16" s="739">
        <v>38091.418877314813</v>
      </c>
      <c r="F16" s="739">
        <v>45656.214826504627</v>
      </c>
      <c r="G16" s="3" t="s">
        <v>791</v>
      </c>
    </row>
    <row r="17" spans="2:7" hidden="1" x14ac:dyDescent="0.25">
      <c r="B17" s="740" t="s">
        <v>801</v>
      </c>
      <c r="C17" s="740" t="s">
        <v>802</v>
      </c>
      <c r="D17" s="740" t="s">
        <v>790</v>
      </c>
      <c r="E17" s="741">
        <v>38415.539594907408</v>
      </c>
      <c r="F17" s="741">
        <v>38415.539594907408</v>
      </c>
      <c r="G17" s="740" t="s">
        <v>803</v>
      </c>
    </row>
    <row r="18" spans="2:7" hidden="1" x14ac:dyDescent="0.25">
      <c r="B18" s="740" t="s">
        <v>804</v>
      </c>
      <c r="C18" s="740" t="s">
        <v>805</v>
      </c>
      <c r="D18" s="740" t="s">
        <v>790</v>
      </c>
      <c r="E18" s="741">
        <v>38415.586782407408</v>
      </c>
      <c r="F18" s="741">
        <v>38415.586782407408</v>
      </c>
      <c r="G18" s="740" t="s">
        <v>803</v>
      </c>
    </row>
    <row r="19" spans="2:7" x14ac:dyDescent="0.25">
      <c r="B19" s="3">
        <v>160</v>
      </c>
      <c r="C19" s="3" t="s">
        <v>680</v>
      </c>
      <c r="D19" s="3" t="s">
        <v>790</v>
      </c>
      <c r="E19" s="739">
        <v>38091.418877314813</v>
      </c>
      <c r="F19" s="739">
        <v>45656.215003321762</v>
      </c>
      <c r="G19" s="3" t="s">
        <v>791</v>
      </c>
    </row>
    <row r="20" spans="2:7" hidden="1" x14ac:dyDescent="0.25">
      <c r="B20" s="740" t="s">
        <v>806</v>
      </c>
      <c r="C20" s="740" t="s">
        <v>807</v>
      </c>
      <c r="D20" s="740" t="s">
        <v>790</v>
      </c>
      <c r="E20" s="741">
        <v>38415.582303240742</v>
      </c>
      <c r="F20" s="741">
        <v>38415.582303240742</v>
      </c>
      <c r="G20" s="740" t="s">
        <v>803</v>
      </c>
    </row>
    <row r="21" spans="2:7" x14ac:dyDescent="0.25">
      <c r="B21" s="3">
        <v>170</v>
      </c>
      <c r="C21" s="3" t="s">
        <v>808</v>
      </c>
      <c r="D21" s="3" t="s">
        <v>790</v>
      </c>
      <c r="E21" s="739">
        <v>38091.418877314813</v>
      </c>
      <c r="F21" s="739">
        <v>45656.215159375002</v>
      </c>
      <c r="G21" s="3" t="s">
        <v>791</v>
      </c>
    </row>
    <row r="22" spans="2:7" x14ac:dyDescent="0.25">
      <c r="B22" s="3">
        <v>175</v>
      </c>
      <c r="C22" s="3" t="s">
        <v>809</v>
      </c>
      <c r="D22" s="3" t="s">
        <v>790</v>
      </c>
      <c r="E22" s="739">
        <v>38156.954212962963</v>
      </c>
      <c r="F22" s="739">
        <v>45656.215323495373</v>
      </c>
      <c r="G22" s="3" t="s">
        <v>791</v>
      </c>
    </row>
    <row r="23" spans="2:7" x14ac:dyDescent="0.25">
      <c r="B23" s="3">
        <v>180</v>
      </c>
      <c r="C23" s="3" t="s">
        <v>184</v>
      </c>
      <c r="D23" s="3" t="s">
        <v>790</v>
      </c>
      <c r="E23" s="739">
        <v>38091.418877314813</v>
      </c>
      <c r="F23" s="739">
        <v>45656.215475497687</v>
      </c>
      <c r="G23" s="3" t="s">
        <v>791</v>
      </c>
    </row>
    <row r="24" spans="2:7" hidden="1" x14ac:dyDescent="0.25">
      <c r="B24" s="740" t="s">
        <v>810</v>
      </c>
      <c r="C24" s="740" t="s">
        <v>811</v>
      </c>
      <c r="D24" s="740" t="s">
        <v>790</v>
      </c>
      <c r="E24" s="741">
        <v>38415.561562499999</v>
      </c>
      <c r="F24" s="741">
        <v>38415.561562499999</v>
      </c>
      <c r="G24" s="740" t="s">
        <v>803</v>
      </c>
    </row>
    <row r="25" spans="2:7" hidden="1" x14ac:dyDescent="0.25">
      <c r="B25" s="740" t="s">
        <v>812</v>
      </c>
      <c r="C25" s="740" t="s">
        <v>813</v>
      </c>
      <c r="D25" s="740" t="s">
        <v>790</v>
      </c>
      <c r="E25" s="741">
        <v>38415.567395833335</v>
      </c>
      <c r="F25" s="741">
        <v>38415.567395833335</v>
      </c>
      <c r="G25" s="740" t="s">
        <v>803</v>
      </c>
    </row>
    <row r="26" spans="2:7" hidden="1" x14ac:dyDescent="0.25">
      <c r="B26" s="740" t="s">
        <v>814</v>
      </c>
      <c r="C26" s="740" t="s">
        <v>815</v>
      </c>
      <c r="D26" s="740" t="s">
        <v>790</v>
      </c>
      <c r="E26" s="741">
        <v>38415.568611111114</v>
      </c>
      <c r="F26" s="741">
        <v>38415.568611111114</v>
      </c>
      <c r="G26" s="740" t="s">
        <v>803</v>
      </c>
    </row>
    <row r="27" spans="2:7" hidden="1" x14ac:dyDescent="0.25">
      <c r="B27" s="740" t="s">
        <v>816</v>
      </c>
      <c r="C27" s="740" t="s">
        <v>817</v>
      </c>
      <c r="D27" s="740" t="s">
        <v>790</v>
      </c>
      <c r="E27" s="741">
        <v>38415.559942129628</v>
      </c>
      <c r="F27" s="741">
        <v>38665.383506944447</v>
      </c>
      <c r="G27" s="740" t="s">
        <v>803</v>
      </c>
    </row>
    <row r="28" spans="2:7" hidden="1" x14ac:dyDescent="0.25">
      <c r="B28" s="740" t="s">
        <v>818</v>
      </c>
      <c r="C28" s="740" t="s">
        <v>819</v>
      </c>
      <c r="D28" s="740" t="s">
        <v>790</v>
      </c>
      <c r="E28" s="741">
        <v>38415.562939814816</v>
      </c>
      <c r="F28" s="741">
        <v>38415.562939814816</v>
      </c>
      <c r="G28" s="740" t="s">
        <v>803</v>
      </c>
    </row>
    <row r="29" spans="2:7" hidden="1" x14ac:dyDescent="0.25">
      <c r="B29" s="740" t="s">
        <v>820</v>
      </c>
      <c r="C29" s="740" t="s">
        <v>821</v>
      </c>
      <c r="D29" s="740" t="s">
        <v>790</v>
      </c>
      <c r="E29" s="741">
        <v>38415.564803240741</v>
      </c>
      <c r="F29" s="741">
        <v>38415.564803240741</v>
      </c>
      <c r="G29" s="740" t="s">
        <v>803</v>
      </c>
    </row>
    <row r="30" spans="2:7" hidden="1" x14ac:dyDescent="0.25">
      <c r="B30" s="740" t="s">
        <v>822</v>
      </c>
      <c r="C30" s="740" t="s">
        <v>823</v>
      </c>
      <c r="D30" s="740" t="s">
        <v>790</v>
      </c>
      <c r="E30" s="741">
        <v>38415.577280092592</v>
      </c>
      <c r="F30" s="741">
        <v>38415.577280092592</v>
      </c>
      <c r="G30" s="740" t="s">
        <v>803</v>
      </c>
    </row>
    <row r="31" spans="2:7" hidden="1" x14ac:dyDescent="0.25">
      <c r="B31" s="740" t="s">
        <v>824</v>
      </c>
      <c r="C31" s="740" t="s">
        <v>825</v>
      </c>
      <c r="D31" s="740" t="s">
        <v>790</v>
      </c>
      <c r="E31" s="741">
        <v>38415.550787037035</v>
      </c>
      <c r="F31" s="741">
        <v>38415.550787037035</v>
      </c>
      <c r="G31" s="740" t="s">
        <v>803</v>
      </c>
    </row>
    <row r="32" spans="2:7" hidden="1" x14ac:dyDescent="0.25">
      <c r="B32" s="740" t="s">
        <v>826</v>
      </c>
      <c r="C32" s="740" t="s">
        <v>827</v>
      </c>
      <c r="D32" s="740" t="s">
        <v>790</v>
      </c>
      <c r="E32" s="741">
        <v>38415.545590277776</v>
      </c>
      <c r="F32" s="741">
        <v>38415.545590277776</v>
      </c>
      <c r="G32" s="740" t="s">
        <v>803</v>
      </c>
    </row>
    <row r="33" spans="2:7" hidden="1" x14ac:dyDescent="0.25">
      <c r="B33" s="740" t="s">
        <v>828</v>
      </c>
      <c r="C33" s="740" t="s">
        <v>829</v>
      </c>
      <c r="D33" s="740" t="s">
        <v>790</v>
      </c>
      <c r="E33" s="741">
        <v>38415.569930555554</v>
      </c>
      <c r="F33" s="741">
        <v>38415.569930555554</v>
      </c>
      <c r="G33" s="740" t="s">
        <v>803</v>
      </c>
    </row>
    <row r="34" spans="2:7" hidden="1" x14ac:dyDescent="0.25">
      <c r="B34" s="740" t="s">
        <v>830</v>
      </c>
      <c r="C34" s="740" t="s">
        <v>831</v>
      </c>
      <c r="D34" s="740" t="s">
        <v>790</v>
      </c>
      <c r="E34" s="741">
        <v>38415.571203703701</v>
      </c>
      <c r="F34" s="741">
        <v>38415.571203703701</v>
      </c>
      <c r="G34" s="740" t="s">
        <v>803</v>
      </c>
    </row>
    <row r="35" spans="2:7" hidden="1" x14ac:dyDescent="0.25">
      <c r="B35" s="740" t="s">
        <v>832</v>
      </c>
      <c r="C35" s="740" t="s">
        <v>833</v>
      </c>
      <c r="D35" s="740" t="s">
        <v>790</v>
      </c>
      <c r="E35" s="741">
        <v>38415.548900462964</v>
      </c>
      <c r="F35" s="741">
        <v>38415.548900462964</v>
      </c>
      <c r="G35" s="740" t="s">
        <v>803</v>
      </c>
    </row>
    <row r="36" spans="2:7" hidden="1" x14ac:dyDescent="0.25">
      <c r="B36" s="740" t="s">
        <v>834</v>
      </c>
      <c r="C36" s="740" t="s">
        <v>835</v>
      </c>
      <c r="D36" s="740" t="s">
        <v>790</v>
      </c>
      <c r="E36" s="741">
        <v>38415.552488425928</v>
      </c>
      <c r="F36" s="741">
        <v>38665.38622685185</v>
      </c>
      <c r="G36" s="740" t="s">
        <v>803</v>
      </c>
    </row>
    <row r="37" spans="2:7" x14ac:dyDescent="0.25">
      <c r="B37" s="3">
        <v>190</v>
      </c>
      <c r="C37" s="3" t="s">
        <v>836</v>
      </c>
      <c r="D37" s="3" t="s">
        <v>790</v>
      </c>
      <c r="E37" s="739">
        <v>38091.418877314813</v>
      </c>
      <c r="F37" s="739">
        <v>45656.215678587963</v>
      </c>
      <c r="G37" s="3" t="s">
        <v>791</v>
      </c>
    </row>
    <row r="38" spans="2:7" x14ac:dyDescent="0.25">
      <c r="B38" s="3">
        <v>200</v>
      </c>
      <c r="C38" s="3" t="s">
        <v>837</v>
      </c>
      <c r="D38" s="3" t="s">
        <v>790</v>
      </c>
      <c r="E38" s="739">
        <v>38091.418877314813</v>
      </c>
      <c r="F38" s="739">
        <v>45656.215969872683</v>
      </c>
      <c r="G38" s="3" t="s">
        <v>791</v>
      </c>
    </row>
    <row r="39" spans="2:7" x14ac:dyDescent="0.25">
      <c r="B39" s="3">
        <v>210</v>
      </c>
      <c r="C39" s="3" t="s">
        <v>838</v>
      </c>
      <c r="D39" s="3" t="s">
        <v>790</v>
      </c>
      <c r="E39" s="739">
        <v>38091.418877314813</v>
      </c>
      <c r="F39" s="739">
        <v>38091.418877314813</v>
      </c>
      <c r="G39" s="3" t="s">
        <v>839</v>
      </c>
    </row>
    <row r="40" spans="2:7" x14ac:dyDescent="0.25">
      <c r="B40" s="3">
        <v>215</v>
      </c>
      <c r="C40" s="3" t="s">
        <v>840</v>
      </c>
      <c r="D40" s="3" t="s">
        <v>790</v>
      </c>
      <c r="E40" s="739">
        <v>41507.588525578707</v>
      </c>
      <c r="F40" s="739">
        <v>45639.81592241898</v>
      </c>
      <c r="G40" s="3" t="s">
        <v>791</v>
      </c>
    </row>
    <row r="41" spans="2:7" x14ac:dyDescent="0.25">
      <c r="B41" s="3">
        <v>216</v>
      </c>
      <c r="C41" s="3" t="s">
        <v>841</v>
      </c>
      <c r="D41" s="3" t="s">
        <v>790</v>
      </c>
      <c r="E41" s="739">
        <v>41507.588719293984</v>
      </c>
      <c r="F41" s="739">
        <v>45639.816214849539</v>
      </c>
      <c r="G41" s="3" t="s">
        <v>791</v>
      </c>
    </row>
    <row r="42" spans="2:7" x14ac:dyDescent="0.25">
      <c r="B42" s="3">
        <v>220</v>
      </c>
      <c r="C42" s="3" t="s">
        <v>842</v>
      </c>
      <c r="D42" s="3" t="s">
        <v>790</v>
      </c>
      <c r="E42" s="739">
        <v>38091.418877314813</v>
      </c>
      <c r="F42" s="739">
        <v>45639.816515243052</v>
      </c>
      <c r="G42" s="3" t="s">
        <v>791</v>
      </c>
    </row>
    <row r="43" spans="2:7" x14ac:dyDescent="0.25">
      <c r="B43" s="3">
        <v>225</v>
      </c>
      <c r="C43" s="3" t="s">
        <v>843</v>
      </c>
      <c r="D43" s="3" t="s">
        <v>790</v>
      </c>
      <c r="E43" s="739">
        <v>38167.323773148149</v>
      </c>
      <c r="F43" s="739">
        <v>45639.816798842592</v>
      </c>
      <c r="G43" s="3" t="s">
        <v>791</v>
      </c>
    </row>
    <row r="44" spans="2:7" x14ac:dyDescent="0.25">
      <c r="B44" s="3">
        <v>230</v>
      </c>
      <c r="C44" s="3" t="s">
        <v>844</v>
      </c>
      <c r="D44" s="3" t="s">
        <v>790</v>
      </c>
      <c r="E44" s="739">
        <v>38091.418877314813</v>
      </c>
      <c r="F44" s="739">
        <v>45639.823602974539</v>
      </c>
      <c r="G44" s="3" t="s">
        <v>791</v>
      </c>
    </row>
    <row r="45" spans="2:7" x14ac:dyDescent="0.25">
      <c r="B45" s="3">
        <v>235</v>
      </c>
      <c r="C45" s="3" t="s">
        <v>845</v>
      </c>
      <c r="D45" s="3" t="s">
        <v>790</v>
      </c>
      <c r="E45" s="739">
        <v>38167.32403935185</v>
      </c>
      <c r="F45" s="739">
        <v>45639.823873460649</v>
      </c>
      <c r="G45" s="3" t="s">
        <v>791</v>
      </c>
    </row>
    <row r="46" spans="2:7" x14ac:dyDescent="0.25">
      <c r="B46" s="3">
        <v>236</v>
      </c>
      <c r="C46" s="3" t="s">
        <v>846</v>
      </c>
      <c r="D46" s="3" t="s">
        <v>790</v>
      </c>
      <c r="E46" s="739">
        <v>38328.616030092591</v>
      </c>
      <c r="F46" s="739">
        <v>45639.824148263891</v>
      </c>
      <c r="G46" s="3" t="s">
        <v>791</v>
      </c>
    </row>
    <row r="47" spans="2:7" x14ac:dyDescent="0.25">
      <c r="B47" s="3">
        <v>237</v>
      </c>
      <c r="C47" s="3" t="s">
        <v>847</v>
      </c>
      <c r="D47" s="3" t="s">
        <v>790</v>
      </c>
      <c r="E47" s="739">
        <v>38328.616400462961</v>
      </c>
      <c r="F47" s="739">
        <v>45639.824366550929</v>
      </c>
      <c r="G47" s="3" t="s">
        <v>791</v>
      </c>
    </row>
    <row r="48" spans="2:7" x14ac:dyDescent="0.25">
      <c r="B48" s="3">
        <v>240</v>
      </c>
      <c r="C48" s="3" t="s">
        <v>848</v>
      </c>
      <c r="D48" s="3" t="s">
        <v>790</v>
      </c>
      <c r="E48" s="739">
        <v>38091.418877314813</v>
      </c>
      <c r="F48" s="739">
        <v>45639.824522141207</v>
      </c>
      <c r="G48" s="3" t="s">
        <v>791</v>
      </c>
    </row>
    <row r="49" spans="2:7" x14ac:dyDescent="0.25">
      <c r="B49" s="3">
        <v>245</v>
      </c>
      <c r="C49" s="3" t="s">
        <v>849</v>
      </c>
      <c r="D49" s="3" t="s">
        <v>790</v>
      </c>
      <c r="E49" s="739">
        <v>38167.324525462966</v>
      </c>
      <c r="F49" s="739">
        <v>45639.824757488423</v>
      </c>
      <c r="G49" s="3" t="s">
        <v>791</v>
      </c>
    </row>
    <row r="50" spans="2:7" x14ac:dyDescent="0.25">
      <c r="B50" s="3">
        <v>250</v>
      </c>
      <c r="C50" s="3" t="s">
        <v>850</v>
      </c>
      <c r="D50" s="3" t="s">
        <v>790</v>
      </c>
      <c r="E50" s="739">
        <v>38091.418877314813</v>
      </c>
      <c r="F50" s="739">
        <v>45639.824941701387</v>
      </c>
      <c r="G50" s="3" t="s">
        <v>791</v>
      </c>
    </row>
    <row r="51" spans="2:7" x14ac:dyDescent="0.25">
      <c r="B51" s="3">
        <v>255</v>
      </c>
      <c r="C51" s="3" t="s">
        <v>851</v>
      </c>
      <c r="D51" s="3" t="s">
        <v>790</v>
      </c>
      <c r="E51" s="739">
        <v>38167.324756944443</v>
      </c>
      <c r="F51" s="739">
        <v>45639.825148379627</v>
      </c>
      <c r="G51" s="3" t="s">
        <v>791</v>
      </c>
    </row>
    <row r="52" spans="2:7" x14ac:dyDescent="0.25">
      <c r="B52" s="3">
        <v>256</v>
      </c>
      <c r="C52" s="3" t="s">
        <v>852</v>
      </c>
      <c r="D52" s="3" t="s">
        <v>790</v>
      </c>
      <c r="E52" s="739">
        <v>38328.616689814815</v>
      </c>
      <c r="F52" s="739">
        <v>45639.825351770836</v>
      </c>
      <c r="G52" s="3" t="s">
        <v>791</v>
      </c>
    </row>
    <row r="53" spans="2:7" x14ac:dyDescent="0.25">
      <c r="B53" s="3">
        <v>257</v>
      </c>
      <c r="C53" s="3" t="s">
        <v>853</v>
      </c>
      <c r="D53" s="3" t="s">
        <v>790</v>
      </c>
      <c r="E53" s="739">
        <v>38328.616956018515</v>
      </c>
      <c r="F53" s="739">
        <v>45639.825535034724</v>
      </c>
      <c r="G53" s="3" t="s">
        <v>791</v>
      </c>
    </row>
    <row r="54" spans="2:7" x14ac:dyDescent="0.25">
      <c r="B54" s="3">
        <v>260</v>
      </c>
      <c r="C54" s="3" t="s">
        <v>854</v>
      </c>
      <c r="D54" s="3" t="s">
        <v>790</v>
      </c>
      <c r="E54" s="739">
        <v>38091.418877314813</v>
      </c>
      <c r="F54" s="739">
        <v>45656.216272650461</v>
      </c>
      <c r="G54" s="3" t="s">
        <v>791</v>
      </c>
    </row>
    <row r="55" spans="2:7" x14ac:dyDescent="0.25">
      <c r="B55" s="3">
        <v>270</v>
      </c>
      <c r="C55" s="3" t="s">
        <v>222</v>
      </c>
      <c r="D55" s="3" t="s">
        <v>790</v>
      </c>
      <c r="E55" s="739">
        <v>38091.418877314813</v>
      </c>
      <c r="F55" s="739">
        <v>45656.216405358799</v>
      </c>
      <c r="G55" s="3" t="s">
        <v>791</v>
      </c>
    </row>
    <row r="56" spans="2:7" x14ac:dyDescent="0.25">
      <c r="B56" s="3">
        <v>280</v>
      </c>
      <c r="C56" s="3" t="s">
        <v>855</v>
      </c>
      <c r="D56" s="3" t="s">
        <v>790</v>
      </c>
      <c r="E56" s="739">
        <v>38091.418877314813</v>
      </c>
      <c r="F56" s="739">
        <v>38580.389328703706</v>
      </c>
      <c r="G56" s="3" t="s">
        <v>803</v>
      </c>
    </row>
    <row r="57" spans="2:7" x14ac:dyDescent="0.25">
      <c r="B57" s="3">
        <v>290</v>
      </c>
      <c r="C57" s="3" t="s">
        <v>856</v>
      </c>
      <c r="D57" s="3" t="s">
        <v>790</v>
      </c>
      <c r="E57" s="739">
        <v>38091.418877314813</v>
      </c>
      <c r="F57" s="739">
        <v>38091.418877314813</v>
      </c>
      <c r="G57" s="3" t="s">
        <v>839</v>
      </c>
    </row>
    <row r="58" spans="2:7" x14ac:dyDescent="0.25">
      <c r="B58" s="3">
        <v>300</v>
      </c>
      <c r="C58" s="3" t="s">
        <v>857</v>
      </c>
      <c r="D58" s="3" t="s">
        <v>790</v>
      </c>
      <c r="E58" s="739">
        <v>38091.418877314813</v>
      </c>
      <c r="F58" s="739">
        <v>38091.418877314813</v>
      </c>
      <c r="G58" s="3" t="s">
        <v>839</v>
      </c>
    </row>
    <row r="59" spans="2:7" x14ac:dyDescent="0.25">
      <c r="B59" s="3">
        <v>310</v>
      </c>
      <c r="C59" s="3" t="s">
        <v>214</v>
      </c>
      <c r="D59" s="3" t="s">
        <v>790</v>
      </c>
      <c r="E59" s="739">
        <v>38091.418877314813</v>
      </c>
      <c r="F59" s="739">
        <v>38091.418877314813</v>
      </c>
      <c r="G59" s="3" t="s">
        <v>839</v>
      </c>
    </row>
    <row r="60" spans="2:7" x14ac:dyDescent="0.25">
      <c r="B60" s="3">
        <v>320</v>
      </c>
      <c r="C60" s="3" t="s">
        <v>858</v>
      </c>
      <c r="D60" s="3" t="s">
        <v>790</v>
      </c>
      <c r="E60" s="739">
        <v>38091.418877314813</v>
      </c>
      <c r="F60" s="739">
        <v>38091.418877314813</v>
      </c>
      <c r="G60" s="3" t="s">
        <v>839</v>
      </c>
    </row>
    <row r="61" spans="2:7" x14ac:dyDescent="0.25">
      <c r="B61" s="3">
        <v>330</v>
      </c>
      <c r="C61" s="3" t="s">
        <v>859</v>
      </c>
      <c r="D61" s="3" t="s">
        <v>790</v>
      </c>
      <c r="E61" s="739">
        <v>38160.431296296294</v>
      </c>
      <c r="F61" s="739">
        <v>45656.216621261578</v>
      </c>
      <c r="G61" s="3" t="s">
        <v>791</v>
      </c>
    </row>
    <row r="62" spans="2:7" x14ac:dyDescent="0.25">
      <c r="B62" s="3">
        <v>350</v>
      </c>
      <c r="C62" s="3" t="s">
        <v>860</v>
      </c>
      <c r="D62" s="3" t="s">
        <v>790</v>
      </c>
      <c r="E62" s="739">
        <v>38313.501655092594</v>
      </c>
      <c r="F62" s="739">
        <v>38313.501655092594</v>
      </c>
      <c r="G62" s="3" t="s">
        <v>803</v>
      </c>
    </row>
    <row r="63" spans="2:7" x14ac:dyDescent="0.25">
      <c r="B63" s="3">
        <v>360</v>
      </c>
      <c r="C63" s="3" t="s">
        <v>218</v>
      </c>
      <c r="D63" s="3" t="s">
        <v>790</v>
      </c>
      <c r="E63" s="739">
        <v>38313.501782407409</v>
      </c>
      <c r="F63" s="739">
        <v>38313.501782407409</v>
      </c>
      <c r="G63" s="3" t="s">
        <v>803</v>
      </c>
    </row>
    <row r="64" spans="2:7" hidden="1" x14ac:dyDescent="0.25">
      <c r="B64" s="740">
        <v>370</v>
      </c>
      <c r="C64" s="740" t="s">
        <v>861</v>
      </c>
      <c r="D64" s="740" t="s">
        <v>790</v>
      </c>
      <c r="E64" s="741">
        <v>38313.501851851855</v>
      </c>
      <c r="F64" s="741">
        <v>38313.501851851855</v>
      </c>
      <c r="G64" s="740" t="s">
        <v>803</v>
      </c>
    </row>
    <row r="65" spans="2:7" hidden="1" x14ac:dyDescent="0.25">
      <c r="B65" s="740">
        <v>380</v>
      </c>
      <c r="C65" s="740" t="s">
        <v>802</v>
      </c>
      <c r="D65" s="740" t="s">
        <v>790</v>
      </c>
      <c r="E65" s="741">
        <v>38313.502002314817</v>
      </c>
      <c r="F65" s="741">
        <v>38313.502002314817</v>
      </c>
      <c r="G65" s="740" t="s">
        <v>803</v>
      </c>
    </row>
    <row r="66" spans="2:7" x14ac:dyDescent="0.25">
      <c r="B66" s="3">
        <v>400</v>
      </c>
      <c r="C66" s="3" t="s">
        <v>862</v>
      </c>
      <c r="D66" s="3" t="s">
        <v>790</v>
      </c>
      <c r="E66" s="739">
        <v>38664.384050925924</v>
      </c>
      <c r="F66" s="739">
        <v>45656.217012928239</v>
      </c>
      <c r="G66" s="3" t="s">
        <v>791</v>
      </c>
    </row>
    <row r="67" spans="2:7" hidden="1" x14ac:dyDescent="0.25">
      <c r="B67" s="740">
        <v>420</v>
      </c>
      <c r="C67" s="740" t="s">
        <v>863</v>
      </c>
      <c r="D67" s="740" t="s">
        <v>790</v>
      </c>
      <c r="E67" s="741">
        <v>45174.853139895837</v>
      </c>
      <c r="F67" s="741">
        <v>45174.853139895837</v>
      </c>
      <c r="G67" s="740" t="s">
        <v>794</v>
      </c>
    </row>
    <row r="68" spans="2:7" hidden="1" x14ac:dyDescent="0.25">
      <c r="B68" s="740">
        <v>425</v>
      </c>
      <c r="C68" s="740" t="s">
        <v>864</v>
      </c>
      <c r="D68" s="740" t="s">
        <v>790</v>
      </c>
      <c r="E68" s="741">
        <v>45174.853140162035</v>
      </c>
      <c r="F68" s="741">
        <v>45174.853140162035</v>
      </c>
      <c r="G68" s="740" t="s">
        <v>794</v>
      </c>
    </row>
    <row r="69" spans="2:7" hidden="1" x14ac:dyDescent="0.25">
      <c r="B69" s="740">
        <v>440</v>
      </c>
      <c r="C69" s="740" t="s">
        <v>865</v>
      </c>
      <c r="D69" s="740" t="s">
        <v>790</v>
      </c>
      <c r="E69" s="741">
        <v>45174.853140393519</v>
      </c>
      <c r="F69" s="741">
        <v>45174.853140393519</v>
      </c>
      <c r="G69" s="740" t="s">
        <v>794</v>
      </c>
    </row>
    <row r="70" spans="2:7" hidden="1" x14ac:dyDescent="0.25">
      <c r="B70" s="740">
        <v>445</v>
      </c>
      <c r="C70" s="740" t="s">
        <v>866</v>
      </c>
      <c r="D70" s="740" t="s">
        <v>790</v>
      </c>
      <c r="E70" s="741">
        <v>45174.853140659725</v>
      </c>
      <c r="F70" s="741">
        <v>45174.853140659725</v>
      </c>
      <c r="G70" s="740" t="s">
        <v>794</v>
      </c>
    </row>
    <row r="71" spans="2:7" hidden="1" x14ac:dyDescent="0.25">
      <c r="B71" s="740">
        <v>460</v>
      </c>
      <c r="C71" s="740" t="s">
        <v>867</v>
      </c>
      <c r="D71" s="740" t="s">
        <v>790</v>
      </c>
      <c r="E71" s="741">
        <v>45174.853140856481</v>
      </c>
      <c r="F71" s="741">
        <v>45174.853140856481</v>
      </c>
      <c r="G71" s="740" t="s">
        <v>794</v>
      </c>
    </row>
    <row r="72" spans="2:7" hidden="1" x14ac:dyDescent="0.25">
      <c r="B72" s="740">
        <v>465</v>
      </c>
      <c r="C72" s="740" t="s">
        <v>868</v>
      </c>
      <c r="D72" s="740" t="s">
        <v>790</v>
      </c>
      <c r="E72" s="741">
        <v>45174.853141053238</v>
      </c>
      <c r="F72" s="741">
        <v>45174.853141053238</v>
      </c>
      <c r="G72" s="740" t="s">
        <v>794</v>
      </c>
    </row>
    <row r="73" spans="2:7" hidden="1" x14ac:dyDescent="0.25">
      <c r="B73" s="740">
        <v>480</v>
      </c>
      <c r="C73" s="740" t="s">
        <v>869</v>
      </c>
      <c r="D73" s="740" t="s">
        <v>790</v>
      </c>
      <c r="E73" s="741">
        <v>45174.853141284722</v>
      </c>
      <c r="F73" s="741">
        <v>45174.853141284722</v>
      </c>
      <c r="G73" s="740" t="s">
        <v>794</v>
      </c>
    </row>
    <row r="74" spans="2:7" hidden="1" x14ac:dyDescent="0.25">
      <c r="B74" s="740">
        <v>485</v>
      </c>
      <c r="C74" s="740" t="s">
        <v>870</v>
      </c>
      <c r="D74" s="740" t="s">
        <v>790</v>
      </c>
      <c r="E74" s="741">
        <v>45174.853141516207</v>
      </c>
      <c r="F74" s="741">
        <v>45174.853141516207</v>
      </c>
      <c r="G74" s="740" t="s">
        <v>794</v>
      </c>
    </row>
    <row r="75" spans="2:7" hidden="1" x14ac:dyDescent="0.25">
      <c r="B75" s="740">
        <v>520</v>
      </c>
      <c r="C75" s="740" t="s">
        <v>871</v>
      </c>
      <c r="D75" s="740" t="s">
        <v>790</v>
      </c>
      <c r="E75" s="741">
        <v>45174.853141747684</v>
      </c>
      <c r="F75" s="741">
        <v>45174.853141747684</v>
      </c>
      <c r="G75" s="740" t="s">
        <v>794</v>
      </c>
    </row>
    <row r="76" spans="2:7" hidden="1" x14ac:dyDescent="0.25">
      <c r="B76" s="740">
        <v>525</v>
      </c>
      <c r="C76" s="740" t="s">
        <v>872</v>
      </c>
      <c r="D76" s="740" t="s">
        <v>790</v>
      </c>
      <c r="E76" s="741">
        <v>45174.853142048611</v>
      </c>
      <c r="F76" s="741">
        <v>45174.853142048611</v>
      </c>
      <c r="G76" s="740" t="s">
        <v>794</v>
      </c>
    </row>
    <row r="77" spans="2:7" hidden="1" x14ac:dyDescent="0.25">
      <c r="B77" s="740">
        <v>540</v>
      </c>
      <c r="C77" s="740" t="s">
        <v>873</v>
      </c>
      <c r="D77" s="740" t="s">
        <v>790</v>
      </c>
      <c r="E77" s="741">
        <v>45174.853142245367</v>
      </c>
      <c r="F77" s="741">
        <v>45174.853142245367</v>
      </c>
      <c r="G77" s="740" t="s">
        <v>794</v>
      </c>
    </row>
    <row r="78" spans="2:7" hidden="1" x14ac:dyDescent="0.25">
      <c r="B78" s="740">
        <v>545</v>
      </c>
      <c r="C78" s="740" t="s">
        <v>874</v>
      </c>
      <c r="D78" s="740" t="s">
        <v>790</v>
      </c>
      <c r="E78" s="741">
        <v>45174.853142476852</v>
      </c>
      <c r="F78" s="741">
        <v>45174.853142476852</v>
      </c>
      <c r="G78" s="740" t="s">
        <v>794</v>
      </c>
    </row>
    <row r="79" spans="2:7" hidden="1" x14ac:dyDescent="0.25">
      <c r="B79" s="740">
        <v>550</v>
      </c>
      <c r="C79" s="740" t="s">
        <v>875</v>
      </c>
      <c r="D79" s="740" t="s">
        <v>790</v>
      </c>
      <c r="E79" s="741">
        <v>42402.309895833336</v>
      </c>
      <c r="F79" s="741">
        <v>42402.310254629629</v>
      </c>
      <c r="G79" s="740" t="s">
        <v>803</v>
      </c>
    </row>
    <row r="80" spans="2:7" hidden="1" x14ac:dyDescent="0.25">
      <c r="B80" s="740">
        <v>615</v>
      </c>
      <c r="C80" s="740" t="s">
        <v>876</v>
      </c>
      <c r="D80" s="740" t="s">
        <v>790</v>
      </c>
      <c r="E80" s="741">
        <v>45174.853142673608</v>
      </c>
      <c r="F80" s="741">
        <v>45174.853142673608</v>
      </c>
      <c r="G80" s="740" t="s">
        <v>794</v>
      </c>
    </row>
    <row r="81" spans="2:7" hidden="1" x14ac:dyDescent="0.25">
      <c r="B81" s="740">
        <v>616</v>
      </c>
      <c r="C81" s="740" t="s">
        <v>877</v>
      </c>
      <c r="D81" s="740" t="s">
        <v>790</v>
      </c>
      <c r="E81" s="741">
        <v>45174.853142905093</v>
      </c>
      <c r="F81" s="741">
        <v>45174.853142905093</v>
      </c>
      <c r="G81" s="740" t="s">
        <v>794</v>
      </c>
    </row>
    <row r="82" spans="2:7" x14ac:dyDescent="0.25">
      <c r="B82" s="3">
        <v>760</v>
      </c>
      <c r="C82" s="3" t="s">
        <v>878</v>
      </c>
      <c r="D82" s="3" t="s">
        <v>790</v>
      </c>
      <c r="E82" s="739">
        <v>41381.609395520834</v>
      </c>
      <c r="F82" s="739">
        <v>41381.609395520834</v>
      </c>
      <c r="G82" s="3" t="s">
        <v>803</v>
      </c>
    </row>
    <row r="83" spans="2:7" x14ac:dyDescent="0.25">
      <c r="B83" s="3">
        <v>770</v>
      </c>
      <c r="C83" s="3" t="s">
        <v>879</v>
      </c>
      <c r="D83" s="3" t="s">
        <v>790</v>
      </c>
      <c r="E83" s="739">
        <v>42354.485659722224</v>
      </c>
      <c r="F83" s="739">
        <v>42858.600532407407</v>
      </c>
      <c r="G83" s="3" t="s">
        <v>803</v>
      </c>
    </row>
    <row r="84" spans="2:7" hidden="1" x14ac:dyDescent="0.25">
      <c r="B84" s="740">
        <v>994</v>
      </c>
      <c r="C84" s="740" t="s">
        <v>880</v>
      </c>
      <c r="D84" s="740" t="s">
        <v>790</v>
      </c>
      <c r="E84" s="741">
        <v>38741.426990740743</v>
      </c>
      <c r="F84" s="741">
        <v>38762.409050925926</v>
      </c>
      <c r="G84" s="740" t="s">
        <v>803</v>
      </c>
    </row>
    <row r="85" spans="2:7" hidden="1" x14ac:dyDescent="0.25">
      <c r="B85" s="740">
        <v>995</v>
      </c>
      <c r="C85" s="740" t="s">
        <v>881</v>
      </c>
      <c r="D85" s="740" t="s">
        <v>790</v>
      </c>
      <c r="E85" s="741">
        <v>38722.393449074072</v>
      </c>
      <c r="F85" s="741">
        <v>38722.393449074072</v>
      </c>
      <c r="G85" s="740" t="s">
        <v>803</v>
      </c>
    </row>
    <row r="86" spans="2:7" x14ac:dyDescent="0.25">
      <c r="B86" s="3">
        <v>996</v>
      </c>
      <c r="C86" s="3" t="s">
        <v>882</v>
      </c>
      <c r="D86" s="3" t="s">
        <v>790</v>
      </c>
      <c r="E86" s="739">
        <v>38587.677916666667</v>
      </c>
      <c r="F86" s="739">
        <v>38587.677916666667</v>
      </c>
      <c r="G86" s="3" t="s">
        <v>803</v>
      </c>
    </row>
    <row r="87" spans="2:7" x14ac:dyDescent="0.25">
      <c r="B87" s="3">
        <v>997</v>
      </c>
      <c r="C87" s="3" t="s">
        <v>883</v>
      </c>
      <c r="D87" s="3" t="s">
        <v>790</v>
      </c>
      <c r="E87" s="739">
        <v>38587.677812499998</v>
      </c>
      <c r="F87" s="739">
        <v>38587.677812499998</v>
      </c>
      <c r="G87" s="3" t="s">
        <v>803</v>
      </c>
    </row>
    <row r="88" spans="2:7" x14ac:dyDescent="0.25">
      <c r="B88" s="3">
        <v>998</v>
      </c>
      <c r="C88" s="3" t="s">
        <v>884</v>
      </c>
      <c r="D88" s="3" t="s">
        <v>790</v>
      </c>
      <c r="E88" s="739">
        <v>38587.677685185183</v>
      </c>
      <c r="F88" s="739">
        <v>38587.677685185183</v>
      </c>
      <c r="G88" s="3" t="s">
        <v>803</v>
      </c>
    </row>
    <row r="89" spans="2:7" x14ac:dyDescent="0.25">
      <c r="B89" s="3">
        <v>999</v>
      </c>
      <c r="C89" s="3" t="s">
        <v>885</v>
      </c>
      <c r="D89" s="3" t="s">
        <v>790</v>
      </c>
      <c r="E89" s="739">
        <v>38091.418877314813</v>
      </c>
      <c r="F89" s="739">
        <v>38091.418877314813</v>
      </c>
      <c r="G89" s="3" t="s">
        <v>839</v>
      </c>
    </row>
    <row r="90" spans="2:7" x14ac:dyDescent="0.25">
      <c r="B90" s="3" t="s">
        <v>886</v>
      </c>
      <c r="C90" s="3" t="s">
        <v>887</v>
      </c>
      <c r="D90" s="3" t="s">
        <v>790</v>
      </c>
      <c r="E90" s="739">
        <v>45442.941180555557</v>
      </c>
      <c r="F90" s="739">
        <v>45442.941180555557</v>
      </c>
      <c r="G90" s="3" t="s">
        <v>791</v>
      </c>
    </row>
    <row r="91" spans="2:7" x14ac:dyDescent="0.25">
      <c r="B91" s="3" t="s">
        <v>888</v>
      </c>
      <c r="C91" s="3" t="s">
        <v>889</v>
      </c>
      <c r="D91" s="3" t="s">
        <v>790</v>
      </c>
      <c r="E91" s="739">
        <v>45235.722918946762</v>
      </c>
      <c r="F91" s="739">
        <v>45235.724591122686</v>
      </c>
      <c r="G91" s="3" t="s">
        <v>794</v>
      </c>
    </row>
    <row r="92" spans="2:7" x14ac:dyDescent="0.25">
      <c r="B92" s="3" t="s">
        <v>890</v>
      </c>
      <c r="C92" s="3" t="s">
        <v>891</v>
      </c>
      <c r="D92" s="3" t="s">
        <v>790</v>
      </c>
      <c r="E92" s="739">
        <v>45667.451973460651</v>
      </c>
      <c r="F92" s="739">
        <v>45667.451973460651</v>
      </c>
      <c r="G92" s="3" t="s">
        <v>892</v>
      </c>
    </row>
  </sheetData>
  <autoFilter ref="B5:G92" xr:uid="{C5E23802-2FA8-4EC4-ABAB-1E25304E5693}">
    <filterColumn colId="0">
      <colorFilter dxfId="37"/>
    </filterColumn>
  </autoFilter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3D429-9DCA-46C1-83B3-CA0E9CAF7037}">
  <sheetPr codeName="Sheet10">
    <outlinePr summaryBelow="0"/>
    <pageSetUpPr autoPageBreaks="0" fitToPage="1"/>
  </sheetPr>
  <dimension ref="A1:AL63"/>
  <sheetViews>
    <sheetView showGridLines="0" zoomScale="90" zoomScaleNormal="90" workbookViewId="0">
      <selection activeCell="AB33" sqref="AB33"/>
    </sheetView>
  </sheetViews>
  <sheetFormatPr defaultRowHeight="15.75" outlineLevelRow="1" outlineLevelCol="1" x14ac:dyDescent="0.25"/>
  <cols>
    <col min="1" max="2" width="1.7109375" customWidth="1"/>
    <col min="3" max="3" width="11.28515625" style="25" hidden="1" customWidth="1" outlineLevel="1"/>
    <col min="4" max="4" width="10.7109375" style="25" hidden="1" customWidth="1" outlineLevel="1"/>
    <col min="5" max="5" width="1.7109375" style="26" hidden="1" customWidth="1" outlineLevel="1"/>
    <col min="6" max="7" width="10.7109375" style="27" hidden="1" customWidth="1" outlineLevel="1"/>
    <col min="8" max="8" width="1.7109375" style="27" hidden="1" customWidth="1" outlineLevel="1"/>
    <col min="9" max="9" width="12.5703125" style="27" hidden="1" customWidth="1" outlineLevel="1"/>
    <col min="10" max="10" width="11.42578125" style="27" hidden="1" customWidth="1" outlineLevel="1"/>
    <col min="11" max="15" width="10.7109375" style="27" hidden="1" customWidth="1" outlineLevel="1"/>
    <col min="16" max="16" width="1.7109375" style="27" hidden="1" customWidth="1" outlineLevel="1"/>
    <col min="17" max="17" width="11.5703125" style="27" hidden="1" customWidth="1" outlineLevel="1"/>
    <col min="18" max="23" width="10.7109375" style="27" hidden="1" customWidth="1" outlineLevel="1"/>
    <col min="24" max="24" width="4.28515625" hidden="1" customWidth="1" outlineLevel="1"/>
    <col min="25" max="25" width="14.85546875" customWidth="1" collapsed="1"/>
    <col min="26" max="26" width="15.85546875" customWidth="1"/>
    <col min="27" max="27" width="22.85546875" customWidth="1"/>
    <col min="28" max="29" width="15.42578125" style="28" customWidth="1"/>
    <col min="30" max="30" width="15.42578125" customWidth="1"/>
    <col min="31" max="31" width="7.85546875" customWidth="1"/>
    <col min="32" max="32" width="14.85546875" style="11" customWidth="1"/>
    <col min="33" max="33" width="17.28515625" style="11" customWidth="1"/>
    <col min="34" max="34" width="26.5703125" style="11" customWidth="1"/>
    <col min="35" max="37" width="15.7109375" customWidth="1"/>
    <col min="38" max="38" width="11.7109375" bestFit="1" customWidth="1"/>
  </cols>
  <sheetData>
    <row r="1" spans="1:38" ht="8.1" customHeight="1" x14ac:dyDescent="0.25"/>
    <row r="2" spans="1:38" ht="21" x14ac:dyDescent="0.35">
      <c r="Y2" s="1" t="s">
        <v>129</v>
      </c>
    </row>
    <row r="3" spans="1:38" ht="15" collapsed="1" x14ac:dyDescent="0.25">
      <c r="C3" s="499"/>
      <c r="D3" s="499"/>
      <c r="E3" s="5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Y3" s="18"/>
    </row>
    <row r="4" spans="1:38" s="9" customFormat="1" hidden="1" outlineLevel="1" x14ac:dyDescent="0.25">
      <c r="A4"/>
      <c r="B4"/>
      <c r="C4" s="743" t="s">
        <v>893</v>
      </c>
      <c r="D4" s="743" t="s">
        <v>894</v>
      </c>
      <c r="E4" s="26"/>
      <c r="F4" s="27"/>
      <c r="G4" s="27"/>
      <c r="H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Y4" s="8"/>
      <c r="Z4" s="8"/>
      <c r="AB4" s="30"/>
      <c r="AC4" s="30"/>
      <c r="AF4" s="7"/>
      <c r="AG4" s="7"/>
      <c r="AH4" s="7"/>
    </row>
    <row r="5" spans="1:38" s="9" customFormat="1" hidden="1" outlineLevel="1" x14ac:dyDescent="0.25">
      <c r="A5"/>
      <c r="B5"/>
      <c r="C5" s="2">
        <v>120</v>
      </c>
      <c r="D5" s="2" t="s">
        <v>129</v>
      </c>
      <c r="E5" s="26"/>
      <c r="F5" s="27"/>
      <c r="G5" s="27"/>
      <c r="H5" s="27"/>
      <c r="J5" s="39" t="s">
        <v>130</v>
      </c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Y5" s="8"/>
      <c r="Z5" s="8"/>
      <c r="AB5" s="30"/>
      <c r="AC5" s="30"/>
      <c r="AF5" s="7"/>
      <c r="AG5" s="7"/>
      <c r="AH5" s="7"/>
    </row>
    <row r="6" spans="1:38" s="9" customFormat="1" hidden="1" outlineLevel="1" x14ac:dyDescent="0.25">
      <c r="A6"/>
      <c r="B6"/>
      <c r="C6" s="3">
        <v>150</v>
      </c>
      <c r="D6" s="2" t="s">
        <v>800</v>
      </c>
      <c r="E6" s="26"/>
      <c r="F6" s="27"/>
      <c r="G6" s="27"/>
      <c r="H6" s="27"/>
      <c r="J6" s="39" t="s">
        <v>131</v>
      </c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Y6" s="8"/>
      <c r="Z6" s="8"/>
      <c r="AB6" s="30"/>
      <c r="AC6" s="30"/>
      <c r="AF6" s="7"/>
      <c r="AG6" s="7"/>
      <c r="AH6" s="7"/>
    </row>
    <row r="7" spans="1:38" s="9" customFormat="1" hidden="1" outlineLevel="1" x14ac:dyDescent="0.25">
      <c r="A7"/>
      <c r="B7"/>
      <c r="E7" s="26"/>
      <c r="F7" s="27"/>
      <c r="G7" s="27"/>
      <c r="H7" s="27"/>
      <c r="I7" s="29"/>
      <c r="J7" s="25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Y7" s="8"/>
      <c r="Z7" s="8"/>
      <c r="AB7" s="30"/>
      <c r="AC7" s="30"/>
      <c r="AF7" s="7"/>
      <c r="AG7" s="7"/>
      <c r="AH7" s="7"/>
    </row>
    <row r="8" spans="1:38" s="9" customFormat="1" x14ac:dyDescent="0.25">
      <c r="A8"/>
      <c r="B8"/>
      <c r="D8" s="25"/>
      <c r="E8" s="26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511" t="s">
        <v>648</v>
      </c>
      <c r="S8" s="515" t="s">
        <v>650</v>
      </c>
      <c r="V8"/>
      <c r="W8"/>
      <c r="X8"/>
      <c r="Y8" s="1025" t="str">
        <f>_xlfn.CONCAT($R$8,"  ",S8)</f>
        <v>•  Class Z (.0001" or .0025mm tolerance)</v>
      </c>
      <c r="Z8" s="281"/>
      <c r="AA8" s="281"/>
      <c r="AB8" s="1026"/>
      <c r="AC8" s="1026"/>
      <c r="AD8" s="281"/>
      <c r="AE8" s="281"/>
      <c r="AF8" s="1027"/>
      <c r="AG8" s="1027"/>
      <c r="AH8" s="1027"/>
      <c r="AI8" s="281"/>
      <c r="AJ8" s="281"/>
      <c r="AK8" s="281"/>
    </row>
    <row r="9" spans="1:38" s="9" customFormat="1" x14ac:dyDescent="0.25">
      <c r="A9"/>
      <c r="B9"/>
      <c r="D9" s="25"/>
      <c r="E9" s="26"/>
      <c r="F9" s="27"/>
      <c r="G9" s="27"/>
      <c r="H9" s="27"/>
      <c r="L9" s="27"/>
      <c r="M9" s="27"/>
      <c r="N9" s="27"/>
      <c r="O9" s="27"/>
      <c r="P9" s="27"/>
      <c r="Q9" s="27"/>
      <c r="R9" s="511"/>
      <c r="S9" s="515" t="s">
        <v>641</v>
      </c>
      <c r="V9"/>
      <c r="W9"/>
      <c r="X9"/>
      <c r="Y9" s="1025" t="str">
        <f>_xlfn.CONCAT($R$8,"  ",S9)</f>
        <v>•  Go (Plus) or NoGo (Minus)</v>
      </c>
      <c r="Z9" s="281"/>
      <c r="AA9" s="281"/>
      <c r="AB9" s="1026"/>
      <c r="AC9" s="1026"/>
      <c r="AD9" s="281"/>
      <c r="AE9" s="281"/>
      <c r="AF9" s="1027"/>
      <c r="AG9" s="1027"/>
      <c r="AH9" s="1027"/>
      <c r="AI9" s="281"/>
      <c r="AJ9" s="281"/>
      <c r="AK9" s="281"/>
    </row>
    <row r="10" spans="1:38" s="9" customFormat="1" x14ac:dyDescent="0.25">
      <c r="A10"/>
      <c r="B10"/>
      <c r="C10" s="29"/>
      <c r="D10" s="25"/>
      <c r="E10" s="26"/>
      <c r="F10" s="27"/>
      <c r="G10" s="27"/>
      <c r="H10" s="27"/>
      <c r="L10" s="27"/>
      <c r="M10" s="27"/>
      <c r="N10" s="27"/>
      <c r="O10" s="27"/>
      <c r="P10" s="27"/>
      <c r="Q10" s="27"/>
      <c r="R10" s="513"/>
      <c r="S10" s="515" t="s">
        <v>651</v>
      </c>
      <c r="V10"/>
      <c r="W10"/>
      <c r="X10"/>
      <c r="Y10" s="1025" t="str">
        <f>_xlfn.CONCAT($R$8,"  ",S10)</f>
        <v>•  .001" or .02mm increments</v>
      </c>
      <c r="Z10" s="281"/>
      <c r="AA10" s="281"/>
      <c r="AB10" s="1026"/>
      <c r="AC10" s="1026"/>
      <c r="AD10" s="281"/>
      <c r="AE10" s="281"/>
      <c r="AF10" s="1027"/>
      <c r="AG10" s="1027"/>
      <c r="AH10" s="1027"/>
      <c r="AI10" s="281"/>
      <c r="AJ10" s="281"/>
      <c r="AK10" s="281"/>
    </row>
    <row r="11" spans="1:38" s="9" customFormat="1" ht="16.5" thickBot="1" x14ac:dyDescent="0.3">
      <c r="A11"/>
      <c r="B11"/>
      <c r="D11" s="25"/>
      <c r="E11" s="26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Y11" s="1028"/>
      <c r="Z11" s="1028"/>
      <c r="AA11" s="281"/>
      <c r="AB11" s="1026"/>
      <c r="AC11" s="1026"/>
      <c r="AD11" s="281"/>
      <c r="AE11" s="281"/>
      <c r="AF11" s="1027"/>
      <c r="AG11" s="1027"/>
      <c r="AH11" s="1027"/>
      <c r="AI11" s="281"/>
      <c r="AJ11" s="281"/>
      <c r="AK11" s="281"/>
    </row>
    <row r="12" spans="1:38" s="9" customFormat="1" x14ac:dyDescent="0.25">
      <c r="A12"/>
      <c r="B12"/>
      <c r="C12"/>
      <c r="D12" s="499"/>
      <c r="E12" s="5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/>
      <c r="Y12" s="767" t="s">
        <v>575</v>
      </c>
      <c r="Z12" s="767"/>
      <c r="AA12" s="767"/>
      <c r="AB12" s="767"/>
      <c r="AC12" s="767"/>
      <c r="AD12" s="768"/>
      <c r="AE12" s="35"/>
      <c r="AF12" s="767" t="s">
        <v>576</v>
      </c>
      <c r="AG12" s="767"/>
      <c r="AH12" s="767"/>
      <c r="AI12" s="767"/>
      <c r="AJ12" s="767"/>
      <c r="AK12" s="768"/>
      <c r="AL12" s="1020"/>
    </row>
    <row r="13" spans="1:38" s="31" customFormat="1" ht="30" x14ac:dyDescent="0.25">
      <c r="A13"/>
      <c r="B13"/>
      <c r="C13" s="499"/>
      <c r="D13" s="499"/>
      <c r="E13" s="5"/>
      <c r="F13" s="6"/>
      <c r="G13" s="6"/>
      <c r="H13" s="6"/>
      <c r="I13" s="476" t="s">
        <v>639</v>
      </c>
      <c r="J13" s="671" t="s">
        <v>9</v>
      </c>
      <c r="K13" s="477" t="s">
        <v>632</v>
      </c>
      <c r="L13" s="477" t="s">
        <v>633</v>
      </c>
      <c r="M13" s="478" t="s">
        <v>636</v>
      </c>
      <c r="N13" s="475"/>
      <c r="O13" s="479">
        <v>0.4</v>
      </c>
      <c r="P13" s="80"/>
      <c r="Q13" s="476" t="s">
        <v>639</v>
      </c>
      <c r="R13" s="671" t="s">
        <v>9</v>
      </c>
      <c r="S13" s="477" t="s">
        <v>632</v>
      </c>
      <c r="T13" s="477" t="s">
        <v>633</v>
      </c>
      <c r="U13" s="478" t="s">
        <v>636</v>
      </c>
      <c r="V13" s="475"/>
      <c r="W13" s="479">
        <v>0.4</v>
      </c>
      <c r="X13" s="254"/>
      <c r="Y13" s="214" t="s">
        <v>9</v>
      </c>
      <c r="Z13" s="216" t="s">
        <v>10</v>
      </c>
      <c r="AA13" s="218" t="s">
        <v>3</v>
      </c>
      <c r="AB13" s="216" t="s">
        <v>11</v>
      </c>
      <c r="AC13" s="241" t="s">
        <v>12</v>
      </c>
      <c r="AD13" s="219" t="s">
        <v>573</v>
      </c>
      <c r="AE13" s="35"/>
      <c r="AF13" s="214" t="s">
        <v>9</v>
      </c>
      <c r="AG13" s="216" t="s">
        <v>10</v>
      </c>
      <c r="AH13" s="218" t="s">
        <v>3</v>
      </c>
      <c r="AI13" s="216" t="s">
        <v>11</v>
      </c>
      <c r="AJ13" s="216" t="s">
        <v>12</v>
      </c>
      <c r="AK13" s="219" t="s">
        <v>573</v>
      </c>
      <c r="AL13" s="1020"/>
    </row>
    <row r="14" spans="1:38" s="31" customFormat="1" x14ac:dyDescent="0.25">
      <c r="A14"/>
      <c r="B14"/>
      <c r="C14" s="465">
        <v>1.0999999999999999E-2</v>
      </c>
      <c r="D14" s="465">
        <v>0.625</v>
      </c>
      <c r="E14" s="5"/>
      <c r="F14" s="6">
        <v>1.52</v>
      </c>
      <c r="G14" s="6">
        <v>17.8</v>
      </c>
      <c r="H14" s="6"/>
      <c r="I14" s="522" t="str">
        <f t="shared" ref="I14:I41" si="0">LEFT(Y14,FIND(RIGHT(J14,1),Y14)-1)</f>
        <v>LS</v>
      </c>
      <c r="J14" s="967" t="s">
        <v>168</v>
      </c>
      <c r="K14" s="970">
        <v>1490</v>
      </c>
      <c r="L14" s="720">
        <v>1850</v>
      </c>
      <c r="M14" s="723">
        <f t="shared" ref="M14:M27" si="1">IF(L14=0,0,L14-K14)</f>
        <v>360</v>
      </c>
      <c r="N14" s="484">
        <f t="shared" ref="N14:N22" si="2">M14/K14</f>
        <v>0.24161073825503357</v>
      </c>
      <c r="O14" s="464">
        <f t="shared" ref="O14:O22" si="3">(1-$O$13)*L14</f>
        <v>1110</v>
      </c>
      <c r="P14" s="6"/>
      <c r="Q14" s="522" t="str">
        <f>LEFT(AF14,3)</f>
        <v>L10</v>
      </c>
      <c r="R14" s="6" t="s">
        <v>133</v>
      </c>
      <c r="S14" s="970">
        <v>2645</v>
      </c>
      <c r="T14" s="720">
        <v>3100</v>
      </c>
      <c r="U14" s="723">
        <f>IF(T14=0,0,T14-S14)</f>
        <v>455</v>
      </c>
      <c r="V14" s="484">
        <f>U14/S14</f>
        <v>0.17202268431001891</v>
      </c>
      <c r="W14" s="464">
        <f>(1-$W$13)*T14</f>
        <v>1860</v>
      </c>
      <c r="X14" s="6"/>
      <c r="Y14" s="242" t="s">
        <v>168</v>
      </c>
      <c r="Z14" s="221" t="s">
        <v>14</v>
      </c>
      <c r="AA14" s="12" t="str">
        <f>_xlfn.CONCAT(TEXT($C14,"#.000#"),"""","  to  ",TEXT($D14,"#.000#"),"""")</f>
        <v>.011"  to  .625"</v>
      </c>
      <c r="AB14" s="222">
        <v>615</v>
      </c>
      <c r="AC14" s="222">
        <v>100</v>
      </c>
      <c r="AD14" s="1029">
        <f>$L14</f>
        <v>1850</v>
      </c>
      <c r="AE14" s="35"/>
      <c r="AF14" s="242" t="s">
        <v>133</v>
      </c>
      <c r="AG14" s="221" t="s">
        <v>14</v>
      </c>
      <c r="AH14" s="12" t="str">
        <f>_xlfn.CONCAT(TEXT($F14,"0.00"),"mm","  to  ",TEXT($G14,"0.00"),"mm")</f>
        <v>1.52mm  to  17.80mm</v>
      </c>
      <c r="AI14" s="523">
        <v>815</v>
      </c>
      <c r="AJ14" s="221">
        <v>124</v>
      </c>
      <c r="AK14" s="244">
        <f>$T14</f>
        <v>3100</v>
      </c>
      <c r="AL14" s="1020"/>
    </row>
    <row r="15" spans="1:38" s="31" customFormat="1" x14ac:dyDescent="0.25">
      <c r="A15"/>
      <c r="B15"/>
      <c r="C15" s="465">
        <v>1.0999999999999999E-2</v>
      </c>
      <c r="D15" s="465">
        <v>0.625</v>
      </c>
      <c r="E15" s="5"/>
      <c r="F15" s="6">
        <v>1.52</v>
      </c>
      <c r="G15" s="6">
        <v>17.8</v>
      </c>
      <c r="H15" s="6"/>
      <c r="I15" s="522" t="str">
        <f t="shared" si="0"/>
        <v>LS</v>
      </c>
      <c r="J15" s="968" t="s">
        <v>169</v>
      </c>
      <c r="K15" s="971">
        <v>1490</v>
      </c>
      <c r="L15" s="720">
        <v>1850</v>
      </c>
      <c r="M15" s="724">
        <f t="shared" si="1"/>
        <v>360</v>
      </c>
      <c r="N15" s="485">
        <f t="shared" si="2"/>
        <v>0.24161073825503357</v>
      </c>
      <c r="O15" s="464">
        <f t="shared" si="3"/>
        <v>1110</v>
      </c>
      <c r="P15" s="6"/>
      <c r="Q15" s="522" t="str">
        <f t="shared" ref="Q15:Q25" si="4">LEFT(AF15,3)</f>
        <v>L10</v>
      </c>
      <c r="R15" s="6" t="s">
        <v>135</v>
      </c>
      <c r="S15" s="971">
        <v>2645</v>
      </c>
      <c r="T15" s="720">
        <v>3100</v>
      </c>
      <c r="U15" s="724">
        <f t="shared" ref="U15:U25" si="5">IF(T15=0,0,T15-S15)</f>
        <v>455</v>
      </c>
      <c r="V15" s="485">
        <f t="shared" ref="V15:V25" si="6">U15/S15</f>
        <v>0.17202268431001891</v>
      </c>
      <c r="W15" s="464">
        <f t="shared" ref="W15:W25" si="7">(1-$W$13)*T15</f>
        <v>1860</v>
      </c>
      <c r="X15" s="6"/>
      <c r="Y15" s="242" t="s">
        <v>169</v>
      </c>
      <c r="Z15" s="221" t="s">
        <v>17</v>
      </c>
      <c r="AA15" s="12" t="str">
        <f t="shared" ref="AA15:AA41" si="8">_xlfn.CONCAT(TEXT($C15,"#.000#"),"""","  to  ",TEXT($D15,"#.000#"),"""")</f>
        <v>.011"  to  .625"</v>
      </c>
      <c r="AB15" s="222">
        <v>615</v>
      </c>
      <c r="AC15" s="222">
        <v>100</v>
      </c>
      <c r="AD15" s="1029">
        <f t="shared" ref="AD15:AD41" si="9">$L15</f>
        <v>1850</v>
      </c>
      <c r="AE15" s="35"/>
      <c r="AF15" s="242" t="s">
        <v>135</v>
      </c>
      <c r="AG15" s="221" t="s">
        <v>17</v>
      </c>
      <c r="AH15" s="12" t="str">
        <f t="shared" ref="AH15:AH25" si="10">_xlfn.CONCAT(TEXT($F15,"0.00"),"mm","  to  ",TEXT($G15,"0.00"),"mm")</f>
        <v>1.52mm  to  17.80mm</v>
      </c>
      <c r="AI15" s="523">
        <v>815</v>
      </c>
      <c r="AJ15" s="221">
        <v>124</v>
      </c>
      <c r="AK15" s="244">
        <f t="shared" ref="AK15:AK25" si="11">$T15</f>
        <v>3100</v>
      </c>
      <c r="AL15" s="1020"/>
    </row>
    <row r="16" spans="1:38" s="31" customFormat="1" x14ac:dyDescent="0.25">
      <c r="A16"/>
      <c r="B16"/>
      <c r="C16" s="465">
        <v>1.15E-2</v>
      </c>
      <c r="D16" s="465">
        <v>0.62549999999999994</v>
      </c>
      <c r="E16" s="5"/>
      <c r="F16" s="6">
        <v>1.53</v>
      </c>
      <c r="G16" s="6">
        <v>17.809999999999999</v>
      </c>
      <c r="H16" s="6"/>
      <c r="I16" s="961" t="str">
        <f t="shared" si="0"/>
        <v>LS5</v>
      </c>
      <c r="J16" s="467" t="s">
        <v>170</v>
      </c>
      <c r="K16" s="972">
        <v>1490</v>
      </c>
      <c r="L16" s="962">
        <v>1870</v>
      </c>
      <c r="M16" s="963">
        <f t="shared" si="1"/>
        <v>380</v>
      </c>
      <c r="N16" s="486">
        <f t="shared" si="2"/>
        <v>0.25503355704697989</v>
      </c>
      <c r="O16" s="469">
        <f t="shared" si="3"/>
        <v>1122</v>
      </c>
      <c r="P16" s="6"/>
      <c r="Q16" s="961" t="str">
        <f t="shared" si="4"/>
        <v>L11</v>
      </c>
      <c r="R16" s="467" t="s">
        <v>137</v>
      </c>
      <c r="S16" s="972">
        <v>2645</v>
      </c>
      <c r="T16" s="962">
        <v>3120</v>
      </c>
      <c r="U16" s="963">
        <f t="shared" si="5"/>
        <v>475</v>
      </c>
      <c r="V16" s="486">
        <f t="shared" si="6"/>
        <v>0.17958412098298676</v>
      </c>
      <c r="W16" s="469">
        <f t="shared" si="7"/>
        <v>1872</v>
      </c>
      <c r="X16" s="6"/>
      <c r="Y16" s="1030" t="s">
        <v>170</v>
      </c>
      <c r="Z16" s="1031" t="s">
        <v>14</v>
      </c>
      <c r="AA16" s="1031" t="str">
        <f t="shared" si="8"/>
        <v>.0115"  to  .6255"</v>
      </c>
      <c r="AB16" s="1031">
        <v>615</v>
      </c>
      <c r="AC16" s="227">
        <v>100</v>
      </c>
      <c r="AD16" s="1032">
        <f t="shared" si="9"/>
        <v>1870</v>
      </c>
      <c r="AE16" s="35"/>
      <c r="AF16" s="1033" t="s">
        <v>137</v>
      </c>
      <c r="AG16" s="1031" t="s">
        <v>14</v>
      </c>
      <c r="AH16" s="1034" t="str">
        <f t="shared" si="10"/>
        <v>1.53mm  to  17.81mm</v>
      </c>
      <c r="AI16" s="1035">
        <v>815</v>
      </c>
      <c r="AJ16" s="227">
        <v>124</v>
      </c>
      <c r="AK16" s="1036">
        <f t="shared" si="11"/>
        <v>3120</v>
      </c>
      <c r="AL16" s="1020"/>
    </row>
    <row r="17" spans="1:38" s="31" customFormat="1" x14ac:dyDescent="0.25">
      <c r="A17"/>
      <c r="B17"/>
      <c r="C17" s="465">
        <v>1.15E-2</v>
      </c>
      <c r="D17" s="465">
        <v>0.62549999999999994</v>
      </c>
      <c r="E17" s="5"/>
      <c r="F17" s="6">
        <v>1.53</v>
      </c>
      <c r="G17" s="6">
        <v>17.809999999999999</v>
      </c>
      <c r="H17" s="6"/>
      <c r="I17" s="964" t="str">
        <f t="shared" si="0"/>
        <v>LS5</v>
      </c>
      <c r="J17" s="471" t="s">
        <v>171</v>
      </c>
      <c r="K17" s="973">
        <v>1490</v>
      </c>
      <c r="L17" s="965">
        <v>1870</v>
      </c>
      <c r="M17" s="966">
        <f t="shared" si="1"/>
        <v>380</v>
      </c>
      <c r="N17" s="487">
        <f t="shared" si="2"/>
        <v>0.25503355704697989</v>
      </c>
      <c r="O17" s="473">
        <f t="shared" si="3"/>
        <v>1122</v>
      </c>
      <c r="P17" s="6"/>
      <c r="Q17" s="964" t="str">
        <f t="shared" si="4"/>
        <v>L11</v>
      </c>
      <c r="R17" s="471" t="s">
        <v>139</v>
      </c>
      <c r="S17" s="973">
        <v>2645</v>
      </c>
      <c r="T17" s="965">
        <v>3120</v>
      </c>
      <c r="U17" s="966">
        <f t="shared" si="5"/>
        <v>475</v>
      </c>
      <c r="V17" s="487">
        <f t="shared" si="6"/>
        <v>0.17958412098298676</v>
      </c>
      <c r="W17" s="473">
        <f t="shared" si="7"/>
        <v>1872</v>
      </c>
      <c r="X17" s="6"/>
      <c r="Y17" s="229" t="s">
        <v>171</v>
      </c>
      <c r="Z17" s="231" t="s">
        <v>17</v>
      </c>
      <c r="AA17" s="234" t="str">
        <f t="shared" si="8"/>
        <v>.0115"  to  .6255"</v>
      </c>
      <c r="AB17" s="231">
        <v>615</v>
      </c>
      <c r="AC17" s="232">
        <v>100</v>
      </c>
      <c r="AD17" s="246">
        <f t="shared" si="9"/>
        <v>1870</v>
      </c>
      <c r="AE17" s="35"/>
      <c r="AF17" s="229" t="s">
        <v>139</v>
      </c>
      <c r="AG17" s="231" t="s">
        <v>17</v>
      </c>
      <c r="AH17" s="247" t="str">
        <f t="shared" si="10"/>
        <v>1.53mm  to  17.81mm</v>
      </c>
      <c r="AI17" s="524">
        <v>815</v>
      </c>
      <c r="AJ17" s="232">
        <v>124</v>
      </c>
      <c r="AK17" s="246">
        <f t="shared" si="11"/>
        <v>3120</v>
      </c>
      <c r="AL17" s="1020"/>
    </row>
    <row r="18" spans="1:38" s="31" customFormat="1" x14ac:dyDescent="0.25">
      <c r="A18"/>
      <c r="B18"/>
      <c r="C18" s="465">
        <v>1.0999999999999999E-2</v>
      </c>
      <c r="D18" s="465">
        <v>0.75</v>
      </c>
      <c r="E18" s="5"/>
      <c r="F18" s="6">
        <v>17.82</v>
      </c>
      <c r="G18" s="6">
        <v>25.4</v>
      </c>
      <c r="H18" s="6"/>
      <c r="I18" s="522" t="str">
        <f t="shared" si="0"/>
        <v>LC</v>
      </c>
      <c r="J18" s="967" t="s">
        <v>164</v>
      </c>
      <c r="K18" s="971">
        <v>2155</v>
      </c>
      <c r="L18" s="720">
        <v>2680</v>
      </c>
      <c r="M18" s="724">
        <f t="shared" si="1"/>
        <v>525</v>
      </c>
      <c r="N18" s="485">
        <f t="shared" si="2"/>
        <v>0.24361948955916474</v>
      </c>
      <c r="O18" s="464">
        <f t="shared" si="3"/>
        <v>1608</v>
      </c>
      <c r="P18" s="6"/>
      <c r="Q18" s="522" t="str">
        <f t="shared" si="4"/>
        <v>L20</v>
      </c>
      <c r="R18" s="6" t="s">
        <v>141</v>
      </c>
      <c r="S18" s="971">
        <v>4180</v>
      </c>
      <c r="T18" s="720">
        <v>4580</v>
      </c>
      <c r="U18" s="724">
        <f t="shared" si="5"/>
        <v>400</v>
      </c>
      <c r="V18" s="485">
        <f t="shared" si="6"/>
        <v>9.569377990430622E-2</v>
      </c>
      <c r="W18" s="464">
        <f t="shared" si="7"/>
        <v>2748</v>
      </c>
      <c r="X18" s="6"/>
      <c r="Y18" s="242" t="s">
        <v>164</v>
      </c>
      <c r="Z18" s="221" t="s">
        <v>14</v>
      </c>
      <c r="AA18" s="12" t="str">
        <f t="shared" si="8"/>
        <v>.011"  to  .750"</v>
      </c>
      <c r="AB18" s="222">
        <v>740</v>
      </c>
      <c r="AC18" s="222">
        <v>120</v>
      </c>
      <c r="AD18" s="1029">
        <f t="shared" si="9"/>
        <v>2680</v>
      </c>
      <c r="AE18" s="35"/>
      <c r="AF18" s="242" t="s">
        <v>141</v>
      </c>
      <c r="AG18" s="221" t="s">
        <v>14</v>
      </c>
      <c r="AH18" s="12" t="str">
        <f t="shared" si="10"/>
        <v>17.82mm  to  25.40mm</v>
      </c>
      <c r="AI18" s="523">
        <v>380</v>
      </c>
      <c r="AJ18" s="221">
        <v>183</v>
      </c>
      <c r="AK18" s="244">
        <f t="shared" si="11"/>
        <v>4580</v>
      </c>
      <c r="AL18" s="1020"/>
    </row>
    <row r="19" spans="1:38" s="31" customFormat="1" x14ac:dyDescent="0.25">
      <c r="A19"/>
      <c r="B19"/>
      <c r="C19" s="465">
        <v>1.0999999999999999E-2</v>
      </c>
      <c r="D19" s="465">
        <v>0.75</v>
      </c>
      <c r="E19" s="5"/>
      <c r="F19" s="6">
        <v>17.82</v>
      </c>
      <c r="G19" s="6">
        <v>25.4</v>
      </c>
      <c r="H19" s="6"/>
      <c r="I19" s="522" t="str">
        <f t="shared" si="0"/>
        <v>LC</v>
      </c>
      <c r="J19" s="969" t="s">
        <v>165</v>
      </c>
      <c r="K19" s="971">
        <v>2155</v>
      </c>
      <c r="L19" s="720">
        <v>2680</v>
      </c>
      <c r="M19" s="724">
        <f t="shared" si="1"/>
        <v>525</v>
      </c>
      <c r="N19" s="485">
        <f t="shared" si="2"/>
        <v>0.24361948955916474</v>
      </c>
      <c r="O19" s="464">
        <f t="shared" si="3"/>
        <v>1608</v>
      </c>
      <c r="P19" s="6"/>
      <c r="Q19" s="522" t="str">
        <f t="shared" si="4"/>
        <v>L20</v>
      </c>
      <c r="R19" s="6" t="s">
        <v>143</v>
      </c>
      <c r="S19" s="971">
        <v>4180</v>
      </c>
      <c r="T19" s="720">
        <v>4580</v>
      </c>
      <c r="U19" s="724">
        <f t="shared" si="5"/>
        <v>400</v>
      </c>
      <c r="V19" s="485">
        <f t="shared" si="6"/>
        <v>9.569377990430622E-2</v>
      </c>
      <c r="W19" s="464">
        <f t="shared" si="7"/>
        <v>2748</v>
      </c>
      <c r="X19" s="6"/>
      <c r="Y19" s="242" t="s">
        <v>165</v>
      </c>
      <c r="Z19" s="221" t="s">
        <v>17</v>
      </c>
      <c r="AA19" s="12" t="str">
        <f t="shared" si="8"/>
        <v>.011"  to  .750"</v>
      </c>
      <c r="AB19" s="222">
        <v>740</v>
      </c>
      <c r="AC19" s="222">
        <v>120</v>
      </c>
      <c r="AD19" s="1029">
        <f t="shared" si="9"/>
        <v>2680</v>
      </c>
      <c r="AE19" s="35"/>
      <c r="AF19" s="242" t="s">
        <v>143</v>
      </c>
      <c r="AG19" s="221" t="s">
        <v>17</v>
      </c>
      <c r="AH19" s="12" t="str">
        <f t="shared" si="10"/>
        <v>17.82mm  to  25.40mm</v>
      </c>
      <c r="AI19" s="523">
        <v>380</v>
      </c>
      <c r="AJ19" s="221">
        <v>183</v>
      </c>
      <c r="AK19" s="244">
        <f t="shared" si="11"/>
        <v>4580</v>
      </c>
      <c r="AL19" s="1020"/>
    </row>
    <row r="20" spans="1:38" s="31" customFormat="1" x14ac:dyDescent="0.25">
      <c r="A20"/>
      <c r="B20"/>
      <c r="C20" s="465">
        <v>1.15E-2</v>
      </c>
      <c r="D20" s="465">
        <v>0.75049999999999994</v>
      </c>
      <c r="E20" s="5"/>
      <c r="F20" s="6">
        <v>17.829999999999998</v>
      </c>
      <c r="G20" s="6">
        <v>25.41</v>
      </c>
      <c r="H20" s="6"/>
      <c r="I20" s="961" t="str">
        <f t="shared" si="0"/>
        <v>LC5</v>
      </c>
      <c r="J20" s="467" t="s">
        <v>166</v>
      </c>
      <c r="K20" s="972">
        <v>2155</v>
      </c>
      <c r="L20" s="962">
        <v>2700</v>
      </c>
      <c r="M20" s="963">
        <f t="shared" si="1"/>
        <v>545</v>
      </c>
      <c r="N20" s="486">
        <f t="shared" si="2"/>
        <v>0.25290023201856149</v>
      </c>
      <c r="O20" s="469">
        <f t="shared" si="3"/>
        <v>1620</v>
      </c>
      <c r="P20" s="6"/>
      <c r="Q20" s="961" t="str">
        <f t="shared" si="4"/>
        <v>L21</v>
      </c>
      <c r="R20" s="467" t="s">
        <v>145</v>
      </c>
      <c r="S20" s="972">
        <v>4180</v>
      </c>
      <c r="T20" s="962">
        <v>4600</v>
      </c>
      <c r="U20" s="963">
        <f t="shared" si="5"/>
        <v>420</v>
      </c>
      <c r="V20" s="486">
        <f t="shared" si="6"/>
        <v>0.10047846889952153</v>
      </c>
      <c r="W20" s="469">
        <f t="shared" si="7"/>
        <v>2760</v>
      </c>
      <c r="X20" s="6"/>
      <c r="Y20" s="1030" t="s">
        <v>166</v>
      </c>
      <c r="Z20" s="1031" t="s">
        <v>14</v>
      </c>
      <c r="AA20" s="1031" t="str">
        <f t="shared" si="8"/>
        <v>.0115"  to  .7505"</v>
      </c>
      <c r="AB20" s="1031">
        <v>740</v>
      </c>
      <c r="AC20" s="227">
        <v>120</v>
      </c>
      <c r="AD20" s="1032">
        <f t="shared" si="9"/>
        <v>2700</v>
      </c>
      <c r="AE20" s="35"/>
      <c r="AF20" s="1033" t="s">
        <v>145</v>
      </c>
      <c r="AG20" s="1031" t="s">
        <v>14</v>
      </c>
      <c r="AH20" s="1034" t="str">
        <f t="shared" si="10"/>
        <v>17.83mm  to  25.41mm</v>
      </c>
      <c r="AI20" s="1035">
        <v>380</v>
      </c>
      <c r="AJ20" s="227">
        <v>183</v>
      </c>
      <c r="AK20" s="1036">
        <f t="shared" si="11"/>
        <v>4600</v>
      </c>
      <c r="AL20" s="1020"/>
    </row>
    <row r="21" spans="1:38" s="31" customFormat="1" x14ac:dyDescent="0.25">
      <c r="A21"/>
      <c r="B21"/>
      <c r="C21" s="465">
        <v>1.15E-2</v>
      </c>
      <c r="D21" s="465">
        <v>0.75049999999999994</v>
      </c>
      <c r="E21" s="5"/>
      <c r="F21" s="6">
        <v>17.829999999999998</v>
      </c>
      <c r="G21" s="6">
        <v>25.41</v>
      </c>
      <c r="H21" s="6"/>
      <c r="I21" s="964" t="str">
        <f t="shared" si="0"/>
        <v>LC5</v>
      </c>
      <c r="J21" s="471" t="s">
        <v>167</v>
      </c>
      <c r="K21" s="973">
        <v>2155</v>
      </c>
      <c r="L21" s="965">
        <v>2700</v>
      </c>
      <c r="M21" s="966">
        <f t="shared" si="1"/>
        <v>545</v>
      </c>
      <c r="N21" s="487">
        <f t="shared" si="2"/>
        <v>0.25290023201856149</v>
      </c>
      <c r="O21" s="473">
        <f t="shared" si="3"/>
        <v>1620</v>
      </c>
      <c r="P21" s="6"/>
      <c r="Q21" s="964" t="str">
        <f t="shared" si="4"/>
        <v>L21</v>
      </c>
      <c r="R21" s="471" t="s">
        <v>147</v>
      </c>
      <c r="S21" s="973">
        <v>4180</v>
      </c>
      <c r="T21" s="965">
        <v>4600</v>
      </c>
      <c r="U21" s="966">
        <f t="shared" si="5"/>
        <v>420</v>
      </c>
      <c r="V21" s="487">
        <f t="shared" si="6"/>
        <v>0.10047846889952153</v>
      </c>
      <c r="W21" s="473">
        <f t="shared" si="7"/>
        <v>2760</v>
      </c>
      <c r="X21" s="6"/>
      <c r="Y21" s="229" t="s">
        <v>167</v>
      </c>
      <c r="Z21" s="231" t="s">
        <v>17</v>
      </c>
      <c r="AA21" s="234" t="str">
        <f t="shared" si="8"/>
        <v>.0115"  to  .7505"</v>
      </c>
      <c r="AB21" s="231">
        <v>740</v>
      </c>
      <c r="AC21" s="232">
        <v>120</v>
      </c>
      <c r="AD21" s="246">
        <f t="shared" si="9"/>
        <v>2700</v>
      </c>
      <c r="AE21" s="35"/>
      <c r="AF21" s="229" t="s">
        <v>147</v>
      </c>
      <c r="AG21" s="231" t="s">
        <v>17</v>
      </c>
      <c r="AH21" s="247" t="str">
        <f t="shared" si="10"/>
        <v>17.83mm  to  25.41mm</v>
      </c>
      <c r="AI21" s="524">
        <v>380</v>
      </c>
      <c r="AJ21" s="232">
        <v>183</v>
      </c>
      <c r="AK21" s="246">
        <f t="shared" si="11"/>
        <v>4600</v>
      </c>
      <c r="AL21" s="1020"/>
    </row>
    <row r="22" spans="1:38" s="9" customFormat="1" x14ac:dyDescent="0.25">
      <c r="A22"/>
      <c r="B22"/>
      <c r="C22" s="465">
        <v>6.0999999999999999E-2</v>
      </c>
      <c r="D22" s="465">
        <v>0.75</v>
      </c>
      <c r="E22" s="5"/>
      <c r="F22" s="6">
        <v>1.52</v>
      </c>
      <c r="G22" s="6">
        <v>25.4</v>
      </c>
      <c r="H22" s="6"/>
      <c r="I22" s="522" t="str">
        <f t="shared" si="0"/>
        <v>L1</v>
      </c>
      <c r="J22" s="969" t="s">
        <v>132</v>
      </c>
      <c r="K22" s="971">
        <v>2060</v>
      </c>
      <c r="L22" s="720">
        <v>2560</v>
      </c>
      <c r="M22" s="724">
        <f t="shared" si="1"/>
        <v>500</v>
      </c>
      <c r="N22" s="485">
        <f t="shared" si="2"/>
        <v>0.24271844660194175</v>
      </c>
      <c r="O22" s="464">
        <f t="shared" si="3"/>
        <v>1536</v>
      </c>
      <c r="P22" s="6"/>
      <c r="Q22" s="522" t="str">
        <f t="shared" si="4"/>
        <v>L30</v>
      </c>
      <c r="R22" s="6" t="s">
        <v>149</v>
      </c>
      <c r="S22" s="971">
        <v>6820</v>
      </c>
      <c r="T22" s="720">
        <v>7500</v>
      </c>
      <c r="U22" s="724">
        <f t="shared" si="5"/>
        <v>680</v>
      </c>
      <c r="V22" s="485">
        <f t="shared" si="6"/>
        <v>9.9706744868035185E-2</v>
      </c>
      <c r="W22" s="464">
        <f t="shared" si="7"/>
        <v>4500</v>
      </c>
      <c r="X22" s="6"/>
      <c r="Y22" s="242" t="s">
        <v>132</v>
      </c>
      <c r="Z22" s="221" t="s">
        <v>14</v>
      </c>
      <c r="AA22" s="12" t="str">
        <f t="shared" si="8"/>
        <v>.061"  to  .750"</v>
      </c>
      <c r="AB22" s="222">
        <v>690</v>
      </c>
      <c r="AC22" s="222">
        <v>120</v>
      </c>
      <c r="AD22" s="224">
        <f t="shared" si="9"/>
        <v>2560</v>
      </c>
      <c r="AE22" s="35"/>
      <c r="AF22" s="242" t="s">
        <v>149</v>
      </c>
      <c r="AG22" s="221" t="s">
        <v>14</v>
      </c>
      <c r="AH22" s="12" t="str">
        <f t="shared" si="10"/>
        <v>1.52mm  to  25.40mm</v>
      </c>
      <c r="AI22" s="523">
        <v>1195</v>
      </c>
      <c r="AJ22" s="221">
        <v>305</v>
      </c>
      <c r="AK22" s="244">
        <f t="shared" si="11"/>
        <v>7500</v>
      </c>
      <c r="AL22" s="1021"/>
    </row>
    <row r="23" spans="1:38" s="9" customFormat="1" x14ac:dyDescent="0.25">
      <c r="A23"/>
      <c r="B23"/>
      <c r="C23" s="465">
        <v>6.0999999999999999E-2</v>
      </c>
      <c r="D23" s="465">
        <v>0.75</v>
      </c>
      <c r="E23" s="5"/>
      <c r="F23" s="6">
        <v>1.52</v>
      </c>
      <c r="G23" s="6">
        <v>25.4</v>
      </c>
      <c r="H23" s="6"/>
      <c r="I23" s="522" t="str">
        <f t="shared" si="0"/>
        <v>L1</v>
      </c>
      <c r="J23" s="969" t="s">
        <v>134</v>
      </c>
      <c r="K23" s="971">
        <v>2060</v>
      </c>
      <c r="L23" s="720">
        <v>2560</v>
      </c>
      <c r="M23" s="724">
        <f t="shared" si="1"/>
        <v>500</v>
      </c>
      <c r="N23" s="485">
        <f t="shared" ref="N23:N41" si="12">M23/K23</f>
        <v>0.24271844660194175</v>
      </c>
      <c r="O23" s="464">
        <f t="shared" ref="O23:O41" si="13">(1-$O$13)*L23</f>
        <v>1536</v>
      </c>
      <c r="P23" s="6"/>
      <c r="Q23" s="522" t="str">
        <f t="shared" si="4"/>
        <v>L30</v>
      </c>
      <c r="R23" s="6" t="s">
        <v>151</v>
      </c>
      <c r="S23" s="971">
        <v>6820</v>
      </c>
      <c r="T23" s="720">
        <v>7500</v>
      </c>
      <c r="U23" s="724">
        <f t="shared" si="5"/>
        <v>680</v>
      </c>
      <c r="V23" s="485">
        <f t="shared" si="6"/>
        <v>9.9706744868035185E-2</v>
      </c>
      <c r="W23" s="464">
        <f t="shared" si="7"/>
        <v>4500</v>
      </c>
      <c r="X23" s="6"/>
      <c r="Y23" s="242" t="s">
        <v>134</v>
      </c>
      <c r="Z23" s="221" t="s">
        <v>17</v>
      </c>
      <c r="AA23" s="12" t="str">
        <f t="shared" si="8"/>
        <v>.061"  to  .750"</v>
      </c>
      <c r="AB23" s="222">
        <v>690</v>
      </c>
      <c r="AC23" s="222">
        <v>120</v>
      </c>
      <c r="AD23" s="1029">
        <f t="shared" si="9"/>
        <v>2560</v>
      </c>
      <c r="AE23" s="35"/>
      <c r="AF23" s="242" t="s">
        <v>151</v>
      </c>
      <c r="AG23" s="221" t="s">
        <v>17</v>
      </c>
      <c r="AH23" s="12" t="str">
        <f t="shared" si="10"/>
        <v>1.52mm  to  25.40mm</v>
      </c>
      <c r="AI23" s="523">
        <v>1195</v>
      </c>
      <c r="AJ23" s="221">
        <v>305</v>
      </c>
      <c r="AK23" s="244">
        <f t="shared" si="11"/>
        <v>7500</v>
      </c>
      <c r="AL23" s="1021"/>
    </row>
    <row r="24" spans="1:38" s="9" customFormat="1" x14ac:dyDescent="0.25">
      <c r="A24"/>
      <c r="B24"/>
      <c r="C24" s="465">
        <v>6.1499999999999999E-2</v>
      </c>
      <c r="D24" s="465">
        <v>0.75049999999999994</v>
      </c>
      <c r="E24" s="5"/>
      <c r="F24" s="6">
        <v>1.53</v>
      </c>
      <c r="G24" s="6">
        <v>25.41</v>
      </c>
      <c r="H24" s="6"/>
      <c r="I24" s="961" t="str">
        <f t="shared" si="0"/>
        <v>L15</v>
      </c>
      <c r="J24" s="467" t="s">
        <v>136</v>
      </c>
      <c r="K24" s="972">
        <v>2060</v>
      </c>
      <c r="L24" s="962">
        <v>2580</v>
      </c>
      <c r="M24" s="963">
        <f t="shared" si="1"/>
        <v>520</v>
      </c>
      <c r="N24" s="486">
        <f t="shared" si="12"/>
        <v>0.25242718446601942</v>
      </c>
      <c r="O24" s="469">
        <f t="shared" si="13"/>
        <v>1548</v>
      </c>
      <c r="P24" s="6"/>
      <c r="Q24" s="961" t="str">
        <f t="shared" si="4"/>
        <v>L31</v>
      </c>
      <c r="R24" s="467" t="s">
        <v>153</v>
      </c>
      <c r="S24" s="972">
        <v>6820</v>
      </c>
      <c r="T24" s="962">
        <v>7520</v>
      </c>
      <c r="U24" s="963">
        <f t="shared" si="5"/>
        <v>700</v>
      </c>
      <c r="V24" s="486">
        <f t="shared" si="6"/>
        <v>0.10263929618768329</v>
      </c>
      <c r="W24" s="469">
        <f t="shared" si="7"/>
        <v>4512</v>
      </c>
      <c r="X24" s="6"/>
      <c r="Y24" s="1030" t="s">
        <v>136</v>
      </c>
      <c r="Z24" s="1031" t="s">
        <v>14</v>
      </c>
      <c r="AA24" s="1031" t="str">
        <f t="shared" si="8"/>
        <v>.0615"  to  .7505"</v>
      </c>
      <c r="AB24" s="1031">
        <v>690</v>
      </c>
      <c r="AC24" s="227">
        <v>120</v>
      </c>
      <c r="AD24" s="1032">
        <f t="shared" si="9"/>
        <v>2580</v>
      </c>
      <c r="AE24" s="35"/>
      <c r="AF24" s="1033" t="s">
        <v>153</v>
      </c>
      <c r="AG24" s="1031" t="s">
        <v>14</v>
      </c>
      <c r="AH24" s="1034" t="str">
        <f t="shared" si="10"/>
        <v>1.53mm  to  25.41mm</v>
      </c>
      <c r="AI24" s="1035">
        <v>1195</v>
      </c>
      <c r="AJ24" s="227">
        <v>305</v>
      </c>
      <c r="AK24" s="1036">
        <f t="shared" si="11"/>
        <v>7520</v>
      </c>
      <c r="AL24" s="1020"/>
    </row>
    <row r="25" spans="1:38" s="9" customFormat="1" ht="16.5" thickBot="1" x14ac:dyDescent="0.3">
      <c r="A25"/>
      <c r="B25"/>
      <c r="C25" s="465">
        <v>6.1499999999999999E-2</v>
      </c>
      <c r="D25" s="465">
        <v>0.75049999999999994</v>
      </c>
      <c r="E25" s="5"/>
      <c r="F25" s="6">
        <v>1.53</v>
      </c>
      <c r="G25" s="6">
        <v>25.41</v>
      </c>
      <c r="H25" s="6"/>
      <c r="I25" s="964" t="str">
        <f t="shared" si="0"/>
        <v>L15</v>
      </c>
      <c r="J25" s="471" t="s">
        <v>138</v>
      </c>
      <c r="K25" s="973">
        <v>2060</v>
      </c>
      <c r="L25" s="965">
        <v>2580</v>
      </c>
      <c r="M25" s="966">
        <f t="shared" si="1"/>
        <v>520</v>
      </c>
      <c r="N25" s="487">
        <f t="shared" si="12"/>
        <v>0.25242718446601942</v>
      </c>
      <c r="O25" s="473">
        <f t="shared" si="13"/>
        <v>1548</v>
      </c>
      <c r="P25" s="6"/>
      <c r="Q25" s="964" t="str">
        <f t="shared" si="4"/>
        <v>L31</v>
      </c>
      <c r="R25" s="471" t="s">
        <v>155</v>
      </c>
      <c r="S25" s="973">
        <v>6820</v>
      </c>
      <c r="T25" s="965">
        <v>7520</v>
      </c>
      <c r="U25" s="966">
        <f t="shared" si="5"/>
        <v>700</v>
      </c>
      <c r="V25" s="487">
        <f t="shared" si="6"/>
        <v>0.10263929618768329</v>
      </c>
      <c r="W25" s="473">
        <f t="shared" si="7"/>
        <v>4512</v>
      </c>
      <c r="X25" s="6"/>
      <c r="Y25" s="229" t="s">
        <v>138</v>
      </c>
      <c r="Z25" s="231" t="s">
        <v>17</v>
      </c>
      <c r="AA25" s="234" t="str">
        <f t="shared" si="8"/>
        <v>.0615"  to  .7505"</v>
      </c>
      <c r="AB25" s="231">
        <v>690</v>
      </c>
      <c r="AC25" s="232">
        <v>120</v>
      </c>
      <c r="AD25" s="246">
        <f t="shared" si="9"/>
        <v>2580</v>
      </c>
      <c r="AE25" s="35"/>
      <c r="AF25" s="235" t="s">
        <v>155</v>
      </c>
      <c r="AG25" s="237" t="s">
        <v>17</v>
      </c>
      <c r="AH25" s="248" t="str">
        <f t="shared" si="10"/>
        <v>1.53mm  to  25.41mm</v>
      </c>
      <c r="AI25" s="525">
        <v>1195</v>
      </c>
      <c r="AJ25" s="238">
        <v>305</v>
      </c>
      <c r="AK25" s="249">
        <f t="shared" si="11"/>
        <v>7520</v>
      </c>
      <c r="AL25" s="1020"/>
    </row>
    <row r="26" spans="1:38" s="9" customFormat="1" x14ac:dyDescent="0.25">
      <c r="A26"/>
      <c r="B26"/>
      <c r="C26" s="465">
        <v>1.0999999999999999E-2</v>
      </c>
      <c r="D26" s="465">
        <v>0.50049999999999994</v>
      </c>
      <c r="E26" s="5"/>
      <c r="H26" s="6"/>
      <c r="I26" s="522" t="str">
        <f t="shared" si="0"/>
        <v>L2C</v>
      </c>
      <c r="J26" s="6" t="s">
        <v>144</v>
      </c>
      <c r="K26" s="971">
        <v>1945</v>
      </c>
      <c r="L26" s="720">
        <v>2400</v>
      </c>
      <c r="M26" s="724">
        <f t="shared" si="1"/>
        <v>455</v>
      </c>
      <c r="N26" s="485">
        <f t="shared" si="12"/>
        <v>0.23393316195372751</v>
      </c>
      <c r="O26" s="464">
        <f t="shared" si="13"/>
        <v>1440</v>
      </c>
      <c r="P26" s="6"/>
      <c r="Q26" s="6"/>
      <c r="S26" s="721"/>
      <c r="T26" s="721"/>
      <c r="X26" s="6"/>
      <c r="Y26" s="242" t="s">
        <v>144</v>
      </c>
      <c r="Z26" s="221" t="s">
        <v>14</v>
      </c>
      <c r="AA26" s="12" t="str">
        <f>_xlfn.CONCAT(TEXT($C26,"#.000#"),"""","  to  ",TEXT($D26,"#.000#"),"""*")</f>
        <v>.011"  to  .5005"*</v>
      </c>
      <c r="AB26" s="222">
        <v>980</v>
      </c>
      <c r="AC26" s="222">
        <v>96</v>
      </c>
      <c r="AD26" s="1029">
        <f t="shared" si="9"/>
        <v>2400</v>
      </c>
      <c r="AE26" s="35"/>
      <c r="AF26" s="250"/>
      <c r="AG26" s="12"/>
      <c r="AH26" s="12"/>
      <c r="AI26" s="251"/>
      <c r="AJ26" s="251"/>
      <c r="AK26" s="35"/>
      <c r="AL26" s="1020"/>
    </row>
    <row r="27" spans="1:38" s="9" customFormat="1" x14ac:dyDescent="0.25">
      <c r="A27"/>
      <c r="B27"/>
      <c r="C27" s="465">
        <v>1.0999999999999999E-2</v>
      </c>
      <c r="D27" s="465">
        <v>0.50049999999999994</v>
      </c>
      <c r="E27" s="5"/>
      <c r="H27" s="6"/>
      <c r="I27" s="522" t="str">
        <f t="shared" si="0"/>
        <v>L2C</v>
      </c>
      <c r="J27" s="6" t="s">
        <v>146</v>
      </c>
      <c r="K27" s="971">
        <v>1945</v>
      </c>
      <c r="L27" s="720">
        <v>2400</v>
      </c>
      <c r="M27" s="724">
        <f t="shared" si="1"/>
        <v>455</v>
      </c>
      <c r="N27" s="485">
        <f t="shared" si="12"/>
        <v>0.23393316195372751</v>
      </c>
      <c r="O27" s="464">
        <f t="shared" si="13"/>
        <v>1440</v>
      </c>
      <c r="P27" s="6"/>
      <c r="Q27" s="6"/>
      <c r="X27" s="6"/>
      <c r="Y27" s="242" t="s">
        <v>146</v>
      </c>
      <c r="Z27" s="221" t="s">
        <v>17</v>
      </c>
      <c r="AA27" s="12" t="str">
        <f>_xlfn.CONCAT(TEXT($C27,"#.000#"),"""","  to  ",TEXT($D27,"#.000#"),"""*")</f>
        <v>.011"  to  .5005"*</v>
      </c>
      <c r="AB27" s="222">
        <v>980</v>
      </c>
      <c r="AC27" s="222">
        <v>96</v>
      </c>
      <c r="AD27" s="1029">
        <f t="shared" si="9"/>
        <v>2400</v>
      </c>
      <c r="AE27" s="35"/>
      <c r="AF27" s="1002" t="s">
        <v>1132</v>
      </c>
      <c r="AG27" s="281"/>
      <c r="AH27" s="281"/>
      <c r="AI27" s="35"/>
      <c r="AJ27" s="35"/>
      <c r="AK27" s="35"/>
      <c r="AL27" s="1020"/>
    </row>
    <row r="28" spans="1:38" s="9" customFormat="1" x14ac:dyDescent="0.25">
      <c r="A28"/>
      <c r="B28"/>
      <c r="C28" s="465">
        <v>6.0999999999999999E-2</v>
      </c>
      <c r="D28" s="465">
        <v>0.50049999999999994</v>
      </c>
      <c r="E28" s="5"/>
      <c r="H28" s="6"/>
      <c r="I28" s="961" t="str">
        <f t="shared" si="0"/>
        <v>L2</v>
      </c>
      <c r="J28" s="467" t="s">
        <v>140</v>
      </c>
      <c r="K28" s="972">
        <v>1750</v>
      </c>
      <c r="L28" s="962">
        <v>2100</v>
      </c>
      <c r="M28" s="963">
        <f t="shared" ref="M28:M41" si="14">IF(L28=0,0,L28-K28)</f>
        <v>350</v>
      </c>
      <c r="N28" s="486">
        <f t="shared" si="12"/>
        <v>0.2</v>
      </c>
      <c r="O28" s="469">
        <f t="shared" si="13"/>
        <v>1260</v>
      </c>
      <c r="P28" s="6"/>
      <c r="Q28" s="6"/>
      <c r="X28" s="6"/>
      <c r="Y28" s="1030" t="s">
        <v>140</v>
      </c>
      <c r="Z28" s="1031" t="s">
        <v>14</v>
      </c>
      <c r="AA28" s="1031" t="str">
        <f>_xlfn.CONCAT(TEXT($C28,"#.000#"),"""","  to  ",TEXT($D28,"#.000#"),"""*")</f>
        <v>.061"  to  .5005"*</v>
      </c>
      <c r="AB28" s="1031">
        <v>880</v>
      </c>
      <c r="AC28" s="227">
        <v>95</v>
      </c>
      <c r="AD28" s="1032">
        <f t="shared" si="9"/>
        <v>2100</v>
      </c>
      <c r="AE28" s="35"/>
      <c r="AF28" s="252"/>
      <c r="AG28" s="12"/>
      <c r="AH28" s="12"/>
      <c r="AI28" s="35"/>
      <c r="AJ28" s="35"/>
      <c r="AK28" s="35"/>
      <c r="AL28" s="1020"/>
    </row>
    <row r="29" spans="1:38" s="9" customFormat="1" x14ac:dyDescent="0.25">
      <c r="A29"/>
      <c r="B29"/>
      <c r="C29" s="465">
        <v>6.0999999999999999E-2</v>
      </c>
      <c r="D29" s="465">
        <v>0.50049999999999994</v>
      </c>
      <c r="E29" s="5"/>
      <c r="H29" s="6"/>
      <c r="I29" s="964" t="str">
        <f t="shared" si="0"/>
        <v>L2</v>
      </c>
      <c r="J29" s="471" t="s">
        <v>142</v>
      </c>
      <c r="K29" s="973">
        <v>1750</v>
      </c>
      <c r="L29" s="965">
        <v>2100</v>
      </c>
      <c r="M29" s="966">
        <f t="shared" si="14"/>
        <v>350</v>
      </c>
      <c r="N29" s="487">
        <f t="shared" si="12"/>
        <v>0.2</v>
      </c>
      <c r="O29" s="473">
        <f t="shared" si="13"/>
        <v>1260</v>
      </c>
      <c r="P29" s="6"/>
      <c r="Q29" s="6"/>
      <c r="R29"/>
      <c r="S29"/>
      <c r="T29"/>
      <c r="U29"/>
      <c r="V29"/>
      <c r="W29"/>
      <c r="X29"/>
      <c r="Y29" s="229" t="s">
        <v>142</v>
      </c>
      <c r="Z29" s="231" t="s">
        <v>17</v>
      </c>
      <c r="AA29" s="234" t="str">
        <f>_xlfn.CONCAT(TEXT($C29,"#.000#"),"""","  to  ",TEXT($D29,"#.000#"),"""*")</f>
        <v>.061"  to  .5005"*</v>
      </c>
      <c r="AB29" s="231">
        <v>880</v>
      </c>
      <c r="AC29" s="232">
        <v>95</v>
      </c>
      <c r="AD29" s="246">
        <f t="shared" si="9"/>
        <v>2100</v>
      </c>
      <c r="AE29" s="35"/>
      <c r="AF29" s="517"/>
      <c r="AG29" s="281"/>
      <c r="AH29" s="281"/>
      <c r="AI29" s="281"/>
      <c r="AJ29" s="281"/>
      <c r="AK29" s="281"/>
      <c r="AL29" s="1020"/>
    </row>
    <row r="30" spans="1:38" s="9" customFormat="1" x14ac:dyDescent="0.25">
      <c r="A30"/>
      <c r="B30"/>
      <c r="C30" s="465">
        <v>6.0999999999999999E-2</v>
      </c>
      <c r="D30" s="465">
        <v>1</v>
      </c>
      <c r="E30" s="5"/>
      <c r="H30" s="6"/>
      <c r="I30" s="522" t="str">
        <f t="shared" si="0"/>
        <v>L3</v>
      </c>
      <c r="J30" s="6" t="s">
        <v>148</v>
      </c>
      <c r="K30" s="971">
        <v>5245</v>
      </c>
      <c r="L30" s="720">
        <v>5800</v>
      </c>
      <c r="M30" s="724">
        <f t="shared" si="14"/>
        <v>555</v>
      </c>
      <c r="N30" s="485">
        <f t="shared" si="12"/>
        <v>0.10581506196377502</v>
      </c>
      <c r="O30" s="464">
        <f t="shared" si="13"/>
        <v>3480</v>
      </c>
      <c r="P30" s="6"/>
      <c r="Q30" s="6"/>
      <c r="R30"/>
      <c r="S30"/>
      <c r="T30"/>
      <c r="U30"/>
      <c r="V30"/>
      <c r="W30"/>
      <c r="X30"/>
      <c r="Y30" s="242" t="s">
        <v>148</v>
      </c>
      <c r="Z30" s="221" t="s">
        <v>14</v>
      </c>
      <c r="AA30" s="12" t="str">
        <f t="shared" si="8"/>
        <v>.061"  to  1.000"</v>
      </c>
      <c r="AB30" s="222">
        <v>940</v>
      </c>
      <c r="AC30" s="222">
        <v>240</v>
      </c>
      <c r="AD30" s="1029">
        <f t="shared" si="9"/>
        <v>5800</v>
      </c>
      <c r="AE30" s="35"/>
      <c r="AF30" s="281"/>
      <c r="AG30" s="281"/>
      <c r="AH30" s="281"/>
      <c r="AI30" s="281"/>
      <c r="AJ30" s="281"/>
      <c r="AK30" s="281"/>
      <c r="AL30" s="1020"/>
    </row>
    <row r="31" spans="1:38" s="9" customFormat="1" x14ac:dyDescent="0.25">
      <c r="A31"/>
      <c r="B31"/>
      <c r="C31" s="465">
        <v>6.0999999999999999E-2</v>
      </c>
      <c r="D31" s="465">
        <v>1</v>
      </c>
      <c r="E31" s="5"/>
      <c r="H31" s="6"/>
      <c r="I31" s="522" t="str">
        <f t="shared" si="0"/>
        <v>L3</v>
      </c>
      <c r="J31" s="6" t="s">
        <v>150</v>
      </c>
      <c r="K31" s="971">
        <v>5245</v>
      </c>
      <c r="L31" s="720">
        <v>5800</v>
      </c>
      <c r="M31" s="724">
        <f t="shared" si="14"/>
        <v>555</v>
      </c>
      <c r="N31" s="485">
        <f t="shared" si="12"/>
        <v>0.10581506196377502</v>
      </c>
      <c r="O31" s="464">
        <f t="shared" si="13"/>
        <v>3480</v>
      </c>
      <c r="P31" s="6"/>
      <c r="Q31" s="6"/>
      <c r="R31"/>
      <c r="S31"/>
      <c r="T31"/>
      <c r="U31"/>
      <c r="V31"/>
      <c r="W31"/>
      <c r="X31"/>
      <c r="Y31" s="242" t="s">
        <v>150</v>
      </c>
      <c r="Z31" s="221" t="s">
        <v>17</v>
      </c>
      <c r="AA31" s="12" t="str">
        <f t="shared" si="8"/>
        <v>.061"  to  1.000"</v>
      </c>
      <c r="AB31" s="222">
        <v>940</v>
      </c>
      <c r="AC31" s="222">
        <v>240</v>
      </c>
      <c r="AD31" s="1029">
        <f t="shared" si="9"/>
        <v>5800</v>
      </c>
      <c r="AE31" s="35"/>
      <c r="AF31" s="281"/>
      <c r="AG31" s="281"/>
      <c r="AH31" s="281"/>
      <c r="AI31" s="281"/>
      <c r="AJ31" s="281"/>
      <c r="AK31" s="281"/>
      <c r="AL31" s="1020"/>
    </row>
    <row r="32" spans="1:38" s="9" customFormat="1" x14ac:dyDescent="0.25">
      <c r="A32"/>
      <c r="B32"/>
      <c r="C32" s="465">
        <v>6.1499999999999999E-2</v>
      </c>
      <c r="D32" s="465">
        <v>1.0004999999999999</v>
      </c>
      <c r="E32" s="5"/>
      <c r="H32" s="6"/>
      <c r="I32" s="961" t="str">
        <f t="shared" si="0"/>
        <v>L35</v>
      </c>
      <c r="J32" s="467" t="s">
        <v>152</v>
      </c>
      <c r="K32" s="972">
        <v>5245</v>
      </c>
      <c r="L32" s="962">
        <v>5820</v>
      </c>
      <c r="M32" s="963">
        <f t="shared" si="14"/>
        <v>575</v>
      </c>
      <c r="N32" s="486">
        <f t="shared" si="12"/>
        <v>0.109628217349857</v>
      </c>
      <c r="O32" s="469">
        <f t="shared" si="13"/>
        <v>3492</v>
      </c>
      <c r="P32" s="6"/>
      <c r="Q32" s="6"/>
      <c r="R32"/>
      <c r="S32"/>
      <c r="T32"/>
      <c r="U32"/>
      <c r="V32"/>
      <c r="W32"/>
      <c r="X32"/>
      <c r="Y32" s="1030" t="s">
        <v>152</v>
      </c>
      <c r="Z32" s="1031" t="s">
        <v>14</v>
      </c>
      <c r="AA32" s="1031" t="str">
        <f t="shared" si="8"/>
        <v>.0615"  to  1.0005"</v>
      </c>
      <c r="AB32" s="1031">
        <v>940</v>
      </c>
      <c r="AC32" s="227">
        <v>240</v>
      </c>
      <c r="AD32" s="1032">
        <f t="shared" si="9"/>
        <v>5820</v>
      </c>
      <c r="AE32" s="35"/>
      <c r="AF32" s="281"/>
      <c r="AG32" s="281"/>
      <c r="AH32" s="281"/>
      <c r="AI32" s="281"/>
      <c r="AJ32" s="281"/>
      <c r="AK32" s="281"/>
      <c r="AL32" s="1020"/>
    </row>
    <row r="33" spans="1:38" s="9" customFormat="1" x14ac:dyDescent="0.25">
      <c r="A33"/>
      <c r="B33"/>
      <c r="C33" s="465">
        <v>6.1499999999999999E-2</v>
      </c>
      <c r="D33" s="465">
        <v>1.0004999999999999</v>
      </c>
      <c r="E33" s="5"/>
      <c r="H33" s="6"/>
      <c r="I33" s="964" t="str">
        <f t="shared" si="0"/>
        <v>L35</v>
      </c>
      <c r="J33" s="471" t="s">
        <v>154</v>
      </c>
      <c r="K33" s="973">
        <v>5245</v>
      </c>
      <c r="L33" s="965">
        <v>5820</v>
      </c>
      <c r="M33" s="966">
        <f t="shared" si="14"/>
        <v>575</v>
      </c>
      <c r="N33" s="487">
        <f t="shared" si="12"/>
        <v>0.109628217349857</v>
      </c>
      <c r="O33" s="473">
        <f t="shared" si="13"/>
        <v>3492</v>
      </c>
      <c r="P33" s="6"/>
      <c r="Q33" s="6"/>
      <c r="R33"/>
      <c r="S33"/>
      <c r="T33"/>
      <c r="U33"/>
      <c r="V33"/>
      <c r="W33"/>
      <c r="X33"/>
      <c r="Y33" s="229" t="s">
        <v>154</v>
      </c>
      <c r="Z33" s="231" t="s">
        <v>17</v>
      </c>
      <c r="AA33" s="234" t="str">
        <f t="shared" si="8"/>
        <v>.0615"  to  1.0005"</v>
      </c>
      <c r="AB33" s="231">
        <v>940</v>
      </c>
      <c r="AC33" s="232">
        <v>240</v>
      </c>
      <c r="AD33" s="246">
        <f t="shared" si="9"/>
        <v>5820</v>
      </c>
      <c r="AE33" s="35"/>
      <c r="AF33" s="281"/>
      <c r="AG33" s="281"/>
      <c r="AH33" s="281"/>
      <c r="AI33" s="281"/>
      <c r="AJ33" s="281"/>
      <c r="AK33" s="281"/>
      <c r="AL33" s="1020"/>
    </row>
    <row r="34" spans="1:38" s="9" customFormat="1" x14ac:dyDescent="0.25">
      <c r="A34"/>
      <c r="B34"/>
      <c r="C34" s="465">
        <v>1.0999999999999999E-2</v>
      </c>
      <c r="D34" s="465">
        <v>1</v>
      </c>
      <c r="E34" s="5"/>
      <c r="F34" s="6"/>
      <c r="G34" s="6"/>
      <c r="H34" s="6"/>
      <c r="I34" s="522" t="str">
        <f t="shared" si="0"/>
        <v>L4</v>
      </c>
      <c r="J34" s="6" t="s">
        <v>156</v>
      </c>
      <c r="K34" s="971">
        <v>5345</v>
      </c>
      <c r="L34" s="720">
        <v>6000</v>
      </c>
      <c r="M34" s="724">
        <f t="shared" si="14"/>
        <v>655</v>
      </c>
      <c r="N34" s="485">
        <f t="shared" si="12"/>
        <v>0.1225444340505145</v>
      </c>
      <c r="O34" s="464">
        <f t="shared" si="13"/>
        <v>3600</v>
      </c>
      <c r="P34" s="6"/>
      <c r="Q34" s="6"/>
      <c r="R34"/>
      <c r="S34"/>
      <c r="T34"/>
      <c r="U34"/>
      <c r="V34"/>
      <c r="W34"/>
      <c r="X34"/>
      <c r="Y34" s="242" t="s">
        <v>156</v>
      </c>
      <c r="Z34" s="221" t="s">
        <v>14</v>
      </c>
      <c r="AA34" s="12" t="str">
        <f t="shared" si="8"/>
        <v>.011"  to  1.000"</v>
      </c>
      <c r="AB34" s="222">
        <v>990</v>
      </c>
      <c r="AC34" s="222">
        <v>240</v>
      </c>
      <c r="AD34" s="1029">
        <f t="shared" si="9"/>
        <v>6000</v>
      </c>
      <c r="AE34" s="35"/>
      <c r="AF34" s="281"/>
      <c r="AG34" s="281"/>
      <c r="AH34" s="281"/>
      <c r="AI34" s="281"/>
      <c r="AJ34" s="281"/>
      <c r="AK34" s="281"/>
      <c r="AL34" s="1020"/>
    </row>
    <row r="35" spans="1:38" s="9" customFormat="1" x14ac:dyDescent="0.25">
      <c r="A35"/>
      <c r="B35"/>
      <c r="C35" s="465">
        <v>1.0999999999999999E-2</v>
      </c>
      <c r="D35" s="465">
        <v>1</v>
      </c>
      <c r="E35" s="5"/>
      <c r="F35" s="6"/>
      <c r="G35" s="6"/>
      <c r="H35" s="6"/>
      <c r="I35" s="522" t="str">
        <f t="shared" si="0"/>
        <v>L4</v>
      </c>
      <c r="J35" s="6" t="s">
        <v>157</v>
      </c>
      <c r="K35" s="971">
        <v>5345</v>
      </c>
      <c r="L35" s="720">
        <v>6000</v>
      </c>
      <c r="M35" s="724">
        <f t="shared" si="14"/>
        <v>655</v>
      </c>
      <c r="N35" s="485">
        <f t="shared" si="12"/>
        <v>0.1225444340505145</v>
      </c>
      <c r="O35" s="464">
        <f t="shared" si="13"/>
        <v>3600</v>
      </c>
      <c r="P35" s="6"/>
      <c r="Q35" s="6"/>
      <c r="R35"/>
      <c r="S35"/>
      <c r="T35"/>
      <c r="U35"/>
      <c r="V35"/>
      <c r="W35"/>
      <c r="X35"/>
      <c r="Y35" s="242" t="s">
        <v>157</v>
      </c>
      <c r="Z35" s="221" t="s">
        <v>17</v>
      </c>
      <c r="AA35" s="12" t="str">
        <f t="shared" si="8"/>
        <v>.011"  to  1.000"</v>
      </c>
      <c r="AB35" s="222">
        <v>990</v>
      </c>
      <c r="AC35" s="222">
        <v>240</v>
      </c>
      <c r="AD35" s="1029">
        <f t="shared" si="9"/>
        <v>6000</v>
      </c>
      <c r="AE35" s="35"/>
      <c r="AF35" s="281"/>
      <c r="AG35" s="281"/>
      <c r="AH35" s="281"/>
      <c r="AI35" s="281"/>
      <c r="AJ35" s="281"/>
      <c r="AK35" s="281"/>
      <c r="AL35" s="1020"/>
    </row>
    <row r="36" spans="1:38" s="9" customFormat="1" x14ac:dyDescent="0.25">
      <c r="A36"/>
      <c r="B36"/>
      <c r="C36" s="465">
        <v>1.15E-2</v>
      </c>
      <c r="D36" s="465">
        <v>1.0004999999999999</v>
      </c>
      <c r="E36" s="5"/>
      <c r="F36" s="6"/>
      <c r="G36" s="6"/>
      <c r="H36" s="6"/>
      <c r="I36" s="961" t="str">
        <f t="shared" si="0"/>
        <v>L45</v>
      </c>
      <c r="J36" s="467" t="s">
        <v>158</v>
      </c>
      <c r="K36" s="972">
        <v>5345</v>
      </c>
      <c r="L36" s="962">
        <v>6040</v>
      </c>
      <c r="M36" s="963">
        <f t="shared" si="14"/>
        <v>695</v>
      </c>
      <c r="N36" s="486">
        <f t="shared" si="12"/>
        <v>0.13002806361085126</v>
      </c>
      <c r="O36" s="469">
        <f t="shared" si="13"/>
        <v>3624</v>
      </c>
      <c r="P36" s="6"/>
      <c r="Q36" s="6"/>
      <c r="R36"/>
      <c r="S36"/>
      <c r="T36"/>
      <c r="U36"/>
      <c r="V36"/>
      <c r="W36"/>
      <c r="X36"/>
      <c r="Y36" s="1030" t="s">
        <v>158</v>
      </c>
      <c r="Z36" s="1031" t="s">
        <v>14</v>
      </c>
      <c r="AA36" s="1031" t="str">
        <f t="shared" si="8"/>
        <v>.0115"  to  1.0005"</v>
      </c>
      <c r="AB36" s="1031">
        <v>990</v>
      </c>
      <c r="AC36" s="227">
        <v>240</v>
      </c>
      <c r="AD36" s="1032">
        <f t="shared" si="9"/>
        <v>6040</v>
      </c>
      <c r="AE36" s="35"/>
      <c r="AF36" s="281"/>
      <c r="AG36" s="281"/>
      <c r="AH36" s="281"/>
      <c r="AI36" s="281"/>
      <c r="AJ36" s="281"/>
      <c r="AK36" s="281"/>
      <c r="AL36" s="1020"/>
    </row>
    <row r="37" spans="1:38" s="9" customFormat="1" x14ac:dyDescent="0.25">
      <c r="A37"/>
      <c r="B37"/>
      <c r="C37" s="465">
        <v>1.15E-2</v>
      </c>
      <c r="D37" s="465">
        <v>1.0004999999999999</v>
      </c>
      <c r="E37" s="5"/>
      <c r="F37" s="6"/>
      <c r="G37" s="6"/>
      <c r="H37" s="6"/>
      <c r="I37" s="964" t="str">
        <f t="shared" si="0"/>
        <v>L45</v>
      </c>
      <c r="J37" s="471" t="s">
        <v>159</v>
      </c>
      <c r="K37" s="973">
        <v>5345</v>
      </c>
      <c r="L37" s="965">
        <v>6040</v>
      </c>
      <c r="M37" s="966">
        <f t="shared" si="14"/>
        <v>695</v>
      </c>
      <c r="N37" s="487">
        <f t="shared" si="12"/>
        <v>0.13002806361085126</v>
      </c>
      <c r="O37" s="473">
        <f t="shared" si="13"/>
        <v>3624</v>
      </c>
      <c r="P37" s="6"/>
      <c r="Q37" s="6"/>
      <c r="R37"/>
      <c r="S37"/>
      <c r="T37"/>
      <c r="U37"/>
      <c r="V37"/>
      <c r="W37"/>
      <c r="X37"/>
      <c r="Y37" s="229" t="s">
        <v>159</v>
      </c>
      <c r="Z37" s="231" t="s">
        <v>17</v>
      </c>
      <c r="AA37" s="234" t="str">
        <f t="shared" si="8"/>
        <v>.0115"  to  1.0005"</v>
      </c>
      <c r="AB37" s="231">
        <v>990</v>
      </c>
      <c r="AC37" s="232">
        <v>240</v>
      </c>
      <c r="AD37" s="246">
        <f t="shared" si="9"/>
        <v>6040</v>
      </c>
      <c r="AE37" s="35"/>
      <c r="AF37" s="281"/>
      <c r="AG37" s="281"/>
      <c r="AH37" s="281"/>
      <c r="AI37" s="281"/>
      <c r="AJ37" s="281"/>
      <c r="AK37" s="281"/>
    </row>
    <row r="38" spans="1:38" s="9" customFormat="1" x14ac:dyDescent="0.25">
      <c r="A38"/>
      <c r="B38"/>
      <c r="C38" s="465">
        <v>0.751</v>
      </c>
      <c r="D38" s="465">
        <v>1</v>
      </c>
      <c r="E38" s="5"/>
      <c r="F38" s="6"/>
      <c r="G38" s="6"/>
      <c r="H38" s="6"/>
      <c r="I38" s="522" t="str">
        <f t="shared" si="0"/>
        <v>L5</v>
      </c>
      <c r="J38" s="6" t="s">
        <v>160</v>
      </c>
      <c r="K38" s="971">
        <v>3435</v>
      </c>
      <c r="L38" s="720">
        <v>3800</v>
      </c>
      <c r="M38" s="724">
        <f t="shared" si="14"/>
        <v>365</v>
      </c>
      <c r="N38" s="485">
        <f t="shared" si="12"/>
        <v>0.10625909752547306</v>
      </c>
      <c r="O38" s="464">
        <f t="shared" si="13"/>
        <v>2280</v>
      </c>
      <c r="P38" s="6"/>
      <c r="Q38" s="6"/>
      <c r="R38"/>
      <c r="S38"/>
      <c r="T38"/>
      <c r="U38"/>
      <c r="V38"/>
      <c r="W38"/>
      <c r="X38"/>
      <c r="Y38" s="242" t="s">
        <v>160</v>
      </c>
      <c r="Z38" s="221" t="s">
        <v>14</v>
      </c>
      <c r="AA38" s="12" t="str">
        <f t="shared" si="8"/>
        <v>.751"  to  1.000"</v>
      </c>
      <c r="AB38" s="222">
        <v>250</v>
      </c>
      <c r="AC38" s="222">
        <v>140</v>
      </c>
      <c r="AD38" s="1029">
        <f t="shared" si="9"/>
        <v>3800</v>
      </c>
      <c r="AE38" s="35"/>
      <c r="AF38" s="281"/>
      <c r="AG38" s="281"/>
      <c r="AH38" s="281"/>
      <c r="AI38" s="281"/>
      <c r="AJ38" s="281"/>
      <c r="AK38" s="281"/>
    </row>
    <row r="39" spans="1:38" s="9" customFormat="1" x14ac:dyDescent="0.25">
      <c r="A39"/>
      <c r="B39"/>
      <c r="C39" s="465">
        <v>0.751</v>
      </c>
      <c r="D39" s="465">
        <v>1</v>
      </c>
      <c r="E39" s="5"/>
      <c r="F39" s="6"/>
      <c r="G39" s="6"/>
      <c r="H39" s="6"/>
      <c r="I39" s="522" t="str">
        <f t="shared" si="0"/>
        <v>L5</v>
      </c>
      <c r="J39" s="6" t="s">
        <v>161</v>
      </c>
      <c r="K39" s="971">
        <v>3435</v>
      </c>
      <c r="L39" s="720">
        <v>3800</v>
      </c>
      <c r="M39" s="724">
        <f t="shared" si="14"/>
        <v>365</v>
      </c>
      <c r="N39" s="485">
        <f t="shared" si="12"/>
        <v>0.10625909752547306</v>
      </c>
      <c r="O39" s="464">
        <f t="shared" si="13"/>
        <v>2280</v>
      </c>
      <c r="P39" s="6"/>
      <c r="Q39" s="6"/>
      <c r="R39" s="6"/>
      <c r="S39" s="6"/>
      <c r="T39" s="6"/>
      <c r="U39" s="6"/>
      <c r="V39" s="6"/>
      <c r="W39" s="6"/>
      <c r="X39" s="6"/>
      <c r="Y39" s="242" t="s">
        <v>161</v>
      </c>
      <c r="Z39" s="221" t="s">
        <v>17</v>
      </c>
      <c r="AA39" s="12" t="str">
        <f t="shared" si="8"/>
        <v>.751"  to  1.000"</v>
      </c>
      <c r="AB39" s="222">
        <v>250</v>
      </c>
      <c r="AC39" s="222">
        <v>140</v>
      </c>
      <c r="AD39" s="1029">
        <f t="shared" si="9"/>
        <v>3800</v>
      </c>
      <c r="AE39" s="35"/>
      <c r="AF39" s="12"/>
      <c r="AG39" s="12"/>
      <c r="AH39" s="12"/>
      <c r="AI39" s="35"/>
      <c r="AJ39" s="35"/>
      <c r="AK39" s="35"/>
      <c r="AL39" s="1020"/>
    </row>
    <row r="40" spans="1:38" s="9" customFormat="1" x14ac:dyDescent="0.25">
      <c r="A40"/>
      <c r="B40"/>
      <c r="C40" s="465">
        <v>0.75149999999999995</v>
      </c>
      <c r="D40" s="465">
        <v>1.0004999999999999</v>
      </c>
      <c r="E40" s="5"/>
      <c r="F40" s="6"/>
      <c r="G40" s="6"/>
      <c r="H40" s="6"/>
      <c r="I40" s="961" t="str">
        <f t="shared" si="0"/>
        <v>L55</v>
      </c>
      <c r="J40" s="467" t="s">
        <v>162</v>
      </c>
      <c r="K40" s="972">
        <v>3435</v>
      </c>
      <c r="L40" s="962">
        <v>3840</v>
      </c>
      <c r="M40" s="963">
        <f t="shared" si="14"/>
        <v>405</v>
      </c>
      <c r="N40" s="486">
        <f t="shared" si="12"/>
        <v>0.11790393013100436</v>
      </c>
      <c r="O40" s="469">
        <f t="shared" si="13"/>
        <v>2304</v>
      </c>
      <c r="P40" s="6"/>
      <c r="Q40" s="6"/>
      <c r="R40" s="6"/>
      <c r="S40" s="6"/>
      <c r="T40" s="6"/>
      <c r="U40" s="6"/>
      <c r="V40" s="6"/>
      <c r="W40" s="6"/>
      <c r="X40" s="6"/>
      <c r="Y40" s="1030" t="s">
        <v>162</v>
      </c>
      <c r="Z40" s="1031" t="s">
        <v>14</v>
      </c>
      <c r="AA40" s="1031" t="str">
        <f t="shared" si="8"/>
        <v>.7515"  to  1.0005"</v>
      </c>
      <c r="AB40" s="1031">
        <v>250</v>
      </c>
      <c r="AC40" s="227">
        <v>140</v>
      </c>
      <c r="AD40" s="1032">
        <f t="shared" si="9"/>
        <v>3840</v>
      </c>
      <c r="AE40" s="35"/>
      <c r="AF40" s="252"/>
      <c r="AG40" s="12"/>
      <c r="AH40" s="12"/>
      <c r="AI40" s="35"/>
      <c r="AJ40" s="35"/>
      <c r="AK40" s="35"/>
      <c r="AL40" s="1020"/>
    </row>
    <row r="41" spans="1:38" s="9" customFormat="1" ht="16.5" thickBot="1" x14ac:dyDescent="0.3">
      <c r="A41"/>
      <c r="B41"/>
      <c r="C41" s="465">
        <v>0.75149999999999995</v>
      </c>
      <c r="D41" s="465">
        <v>1.0004999999999999</v>
      </c>
      <c r="E41" s="5"/>
      <c r="F41" s="6"/>
      <c r="G41" s="6"/>
      <c r="H41" s="6"/>
      <c r="I41" s="964" t="str">
        <f t="shared" si="0"/>
        <v>L55</v>
      </c>
      <c r="J41" s="471" t="s">
        <v>163</v>
      </c>
      <c r="K41" s="973">
        <v>3435</v>
      </c>
      <c r="L41" s="965">
        <v>3840</v>
      </c>
      <c r="M41" s="966">
        <f t="shared" si="14"/>
        <v>405</v>
      </c>
      <c r="N41" s="487">
        <f t="shared" si="12"/>
        <v>0.11790393013100436</v>
      </c>
      <c r="O41" s="473">
        <f t="shared" si="13"/>
        <v>2304</v>
      </c>
      <c r="P41" s="6"/>
      <c r="Q41" s="6"/>
      <c r="R41" s="6"/>
      <c r="S41" s="6"/>
      <c r="T41" s="6"/>
      <c r="U41" s="6"/>
      <c r="V41" s="6"/>
      <c r="W41" s="6"/>
      <c r="X41" s="6"/>
      <c r="Y41" s="235" t="s">
        <v>163</v>
      </c>
      <c r="Z41" s="237" t="s">
        <v>17</v>
      </c>
      <c r="AA41" s="240" t="str">
        <f t="shared" si="8"/>
        <v>.7515"  to  1.0005"</v>
      </c>
      <c r="AB41" s="237">
        <v>250</v>
      </c>
      <c r="AC41" s="238">
        <v>140</v>
      </c>
      <c r="AD41" s="249">
        <f t="shared" si="9"/>
        <v>3840</v>
      </c>
      <c r="AE41" s="35"/>
      <c r="AF41" s="12"/>
      <c r="AG41" s="12"/>
      <c r="AH41" s="12"/>
      <c r="AI41" s="35"/>
      <c r="AJ41" s="35"/>
      <c r="AK41" s="35"/>
      <c r="AL41" s="1020"/>
    </row>
    <row r="42" spans="1:38" s="9" customFormat="1" ht="5.0999999999999996" customHeight="1" x14ac:dyDescent="0.25">
      <c r="A42"/>
      <c r="B42"/>
      <c r="C42" s="499"/>
      <c r="D42" s="499"/>
      <c r="E42" s="5"/>
      <c r="F42" s="6"/>
      <c r="G42" s="6"/>
      <c r="H42" s="6"/>
      <c r="I42" s="6"/>
      <c r="J42" s="6"/>
      <c r="K42" s="6"/>
      <c r="L42" s="6"/>
      <c r="M42" s="725"/>
      <c r="N42" s="6"/>
      <c r="O42" s="6"/>
      <c r="P42" s="6"/>
      <c r="Q42" s="6"/>
      <c r="R42" s="6"/>
      <c r="S42" s="6"/>
      <c r="T42" s="6"/>
      <c r="U42" s="6"/>
      <c r="V42" s="6"/>
      <c r="W42" s="6"/>
      <c r="X42"/>
      <c r="Y42" s="281"/>
      <c r="Z42" s="281"/>
      <c r="AA42" s="281"/>
      <c r="AB42" s="1026"/>
      <c r="AC42" s="1026"/>
      <c r="AD42" s="281"/>
      <c r="AE42" s="35"/>
      <c r="AF42" s="252"/>
      <c r="AG42" s="12"/>
      <c r="AH42" s="12"/>
      <c r="AI42" s="35"/>
      <c r="AJ42" s="35"/>
      <c r="AK42" s="35"/>
      <c r="AL42" s="1020"/>
    </row>
    <row r="43" spans="1:38" s="9" customFormat="1" x14ac:dyDescent="0.25">
      <c r="A43"/>
      <c r="B43"/>
      <c r="C43"/>
      <c r="D43"/>
      <c r="E43"/>
      <c r="F43"/>
      <c r="G43"/>
      <c r="H43"/>
      <c r="I43"/>
      <c r="J43"/>
      <c r="K43"/>
      <c r="L43"/>
      <c r="M43" s="726"/>
      <c r="N43"/>
      <c r="O43"/>
      <c r="P43"/>
      <c r="Q43"/>
      <c r="R43"/>
      <c r="S43"/>
      <c r="T43"/>
      <c r="U43"/>
      <c r="V43"/>
      <c r="W43"/>
      <c r="X43"/>
      <c r="Y43" s="1002" t="s">
        <v>667</v>
      </c>
      <c r="Z43" s="281"/>
      <c r="AA43" s="281"/>
      <c r="AB43" s="281"/>
      <c r="AC43" s="281"/>
      <c r="AD43" s="281"/>
      <c r="AE43" s="35"/>
      <c r="AF43" s="12"/>
      <c r="AG43" s="12"/>
      <c r="AH43" s="12"/>
      <c r="AI43" s="35"/>
      <c r="AJ43" s="35"/>
      <c r="AK43" s="35"/>
      <c r="AL43" s="1020"/>
    </row>
    <row r="44" spans="1:38" ht="9.9499999999999993" customHeight="1" x14ac:dyDescent="0.25">
      <c r="C44" s="499"/>
      <c r="D44" s="499"/>
      <c r="E44" s="5"/>
      <c r="F44" s="6"/>
      <c r="G44" s="6"/>
      <c r="H44" s="6"/>
      <c r="I44" s="6"/>
      <c r="J44" s="6"/>
      <c r="K44" s="6"/>
      <c r="L44" s="6"/>
      <c r="M44" s="725"/>
      <c r="N44" s="6"/>
      <c r="O44" s="6"/>
      <c r="P44" s="6"/>
      <c r="Q44" s="6"/>
      <c r="R44" s="6"/>
      <c r="S44" s="6"/>
      <c r="T44" s="6"/>
      <c r="U44" s="6"/>
      <c r="V44" s="6"/>
      <c r="W44" s="6"/>
      <c r="Y44" s="281"/>
      <c r="Z44" s="281"/>
      <c r="AA44" s="281"/>
      <c r="AB44" s="1026"/>
      <c r="AC44" s="1026"/>
      <c r="AD44" s="281"/>
      <c r="AE44" s="281"/>
      <c r="AF44" s="1027"/>
      <c r="AG44" s="1027"/>
      <c r="AH44" s="1027"/>
      <c r="AI44" s="281"/>
      <c r="AJ44" s="281"/>
      <c r="AK44" s="281"/>
      <c r="AL44" s="9"/>
    </row>
    <row r="45" spans="1:38" x14ac:dyDescent="0.25">
      <c r="C45" s="499"/>
      <c r="D45" s="499"/>
      <c r="E45" s="5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Y45" s="1002" t="s">
        <v>1133</v>
      </c>
      <c r="Z45" s="281"/>
      <c r="AA45" s="281"/>
      <c r="AB45" s="1026"/>
      <c r="AC45" s="1026"/>
      <c r="AD45" s="281"/>
      <c r="AE45" s="281"/>
      <c r="AF45" s="1027"/>
      <c r="AG45" s="1027"/>
      <c r="AH45" s="1027"/>
      <c r="AI45" s="281"/>
      <c r="AJ45" s="281"/>
      <c r="AK45" s="281"/>
      <c r="AL45" s="9"/>
    </row>
    <row r="46" spans="1:38" s="80" customFormat="1" x14ac:dyDescent="0.25">
      <c r="C46" s="1003"/>
      <c r="D46" s="1003"/>
      <c r="E46" s="1004"/>
      <c r="F46" s="852"/>
      <c r="G46" s="852"/>
      <c r="H46" s="852"/>
      <c r="I46" s="852"/>
      <c r="J46" s="852"/>
      <c r="K46" s="852"/>
      <c r="L46" s="852"/>
      <c r="M46" s="852"/>
      <c r="N46" s="852"/>
      <c r="O46" s="852"/>
      <c r="P46" s="852"/>
      <c r="Q46" s="852"/>
      <c r="R46" s="852"/>
      <c r="S46" s="852"/>
      <c r="T46" s="852"/>
      <c r="U46" s="852"/>
      <c r="V46" s="852"/>
      <c r="W46" s="852"/>
      <c r="Y46" s="1037"/>
      <c r="Z46" s="1037"/>
      <c r="AA46" s="1037"/>
      <c r="AB46" s="1038"/>
      <c r="AC46" s="1038"/>
      <c r="AD46" s="1037"/>
      <c r="AE46" s="1037"/>
      <c r="AF46" s="1039"/>
      <c r="AG46" s="1039"/>
      <c r="AH46" s="1039"/>
      <c r="AI46" s="1037"/>
      <c r="AJ46" s="1037"/>
      <c r="AK46" s="1037"/>
      <c r="AL46" s="569"/>
    </row>
    <row r="47" spans="1:38" x14ac:dyDescent="0.25">
      <c r="C47" s="499"/>
      <c r="D47" s="499"/>
      <c r="E47" s="5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Y47" s="517" t="s">
        <v>707</v>
      </c>
      <c r="Z47" s="281"/>
      <c r="AA47" s="281"/>
      <c r="AB47" s="1026"/>
      <c r="AC47" s="1026"/>
      <c r="AD47" s="281"/>
      <c r="AE47" s="281"/>
      <c r="AF47" s="1027"/>
      <c r="AG47" s="1027"/>
      <c r="AH47" s="1027"/>
      <c r="AI47" s="281"/>
      <c r="AJ47" s="281"/>
      <c r="AK47" s="281"/>
      <c r="AL47" s="9"/>
    </row>
    <row r="48" spans="1:38" s="9" customFormat="1" x14ac:dyDescent="0.25">
      <c r="A48"/>
      <c r="B48"/>
      <c r="C48" s="499"/>
      <c r="D48" s="499"/>
      <c r="E48" s="5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250"/>
      <c r="Z48" s="250"/>
      <c r="AA48" s="35"/>
      <c r="AB48" s="251"/>
      <c r="AC48" s="251"/>
      <c r="AD48" s="281"/>
      <c r="AE48" s="35"/>
      <c r="AF48" s="281"/>
      <c r="AG48" s="281"/>
      <c r="AH48" s="281"/>
      <c r="AI48" s="281"/>
      <c r="AJ48" s="281"/>
      <c r="AK48" s="281"/>
    </row>
    <row r="49" spans="1:38" s="9" customFormat="1" x14ac:dyDescent="0.25">
      <c r="A49"/>
      <c r="B49"/>
      <c r="C49" s="499"/>
      <c r="D49" s="499"/>
      <c r="E49" s="5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281"/>
      <c r="Z49" s="250"/>
      <c r="AA49" s="35"/>
      <c r="AB49" s="251"/>
      <c r="AC49" s="251"/>
      <c r="AD49" s="281"/>
      <c r="AE49" s="35"/>
      <c r="AF49" s="281"/>
      <c r="AG49" s="281"/>
      <c r="AH49" s="281"/>
      <c r="AI49" s="281"/>
      <c r="AJ49" s="281"/>
      <c r="AK49" s="281"/>
    </row>
    <row r="50" spans="1:38" s="9" customFormat="1" x14ac:dyDescent="0.25">
      <c r="A50"/>
      <c r="B50"/>
      <c r="C50" s="499"/>
      <c r="D50" s="499"/>
      <c r="E50" s="5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250"/>
      <c r="Z50" s="250"/>
      <c r="AA50" s="35"/>
      <c r="AB50" s="251"/>
      <c r="AC50" s="251"/>
      <c r="AD50" s="281"/>
      <c r="AE50" s="35"/>
      <c r="AF50" s="281"/>
      <c r="AG50" s="281"/>
      <c r="AH50" s="281"/>
      <c r="AI50" s="281"/>
      <c r="AJ50" s="281"/>
      <c r="AK50" s="281"/>
      <c r="AL50"/>
    </row>
    <row r="51" spans="1:38" s="9" customFormat="1" x14ac:dyDescent="0.25">
      <c r="A51" s="50"/>
      <c r="B51" s="50"/>
      <c r="C51" s="499"/>
      <c r="D51" s="499"/>
      <c r="E51" s="5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281"/>
      <c r="Z51" s="250"/>
      <c r="AA51" s="35"/>
      <c r="AB51" s="251"/>
      <c r="AC51" s="251"/>
      <c r="AD51" s="281"/>
      <c r="AE51" s="35"/>
      <c r="AF51" s="281"/>
      <c r="AG51" s="281"/>
      <c r="AH51" s="281"/>
      <c r="AI51" s="281"/>
      <c r="AJ51" s="281"/>
      <c r="AK51" s="281"/>
      <c r="AL51"/>
    </row>
    <row r="52" spans="1:38" s="9" customFormat="1" x14ac:dyDescent="0.25">
      <c r="A52"/>
      <c r="B52"/>
      <c r="C52" s="499"/>
      <c r="D52" s="499"/>
      <c r="E52" s="5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281"/>
      <c r="Z52" s="281"/>
      <c r="AA52" s="281"/>
      <c r="AB52" s="281"/>
      <c r="AC52" s="281"/>
      <c r="AD52" s="281"/>
      <c r="AE52" s="281"/>
      <c r="AF52" s="281"/>
      <c r="AG52" s="281"/>
      <c r="AH52" s="281"/>
      <c r="AI52" s="281"/>
      <c r="AJ52" s="281"/>
      <c r="AK52" s="281"/>
      <c r="AL52"/>
    </row>
    <row r="53" spans="1:38" ht="15" x14ac:dyDescent="0.25">
      <c r="C53" s="499"/>
      <c r="D53" s="499"/>
      <c r="E53" s="5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Y53" s="281"/>
      <c r="Z53" s="281"/>
      <c r="AA53" s="281"/>
      <c r="AB53" s="281"/>
      <c r="AC53" s="281"/>
      <c r="AD53" s="281"/>
      <c r="AE53" s="281"/>
      <c r="AF53" s="281"/>
      <c r="AG53" s="281"/>
      <c r="AH53" s="281"/>
      <c r="AI53" s="281"/>
      <c r="AJ53" s="281"/>
      <c r="AK53" s="281"/>
    </row>
    <row r="54" spans="1:38" ht="15" x14ac:dyDescent="0.25">
      <c r="C54" s="499"/>
      <c r="D54" s="499"/>
      <c r="E54" s="5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Y54" s="281"/>
      <c r="Z54" s="281"/>
      <c r="AA54" s="281"/>
      <c r="AB54" s="281"/>
      <c r="AC54" s="281"/>
      <c r="AD54" s="281"/>
      <c r="AE54" s="281"/>
      <c r="AF54" s="281"/>
      <c r="AG54" s="281"/>
      <c r="AH54" s="281"/>
      <c r="AI54" s="281"/>
      <c r="AJ54" s="281"/>
      <c r="AK54" s="281"/>
    </row>
    <row r="55" spans="1:38" ht="15" x14ac:dyDescent="0.25">
      <c r="C55" s="499"/>
      <c r="D55" s="499"/>
      <c r="E55" s="5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Y55" s="281"/>
      <c r="Z55" s="281"/>
      <c r="AA55" s="281"/>
      <c r="AB55" s="281"/>
      <c r="AC55" s="281"/>
      <c r="AD55" s="281"/>
      <c r="AE55" s="281"/>
      <c r="AF55" s="281"/>
      <c r="AG55" s="281"/>
      <c r="AH55" s="281"/>
      <c r="AI55" s="281"/>
      <c r="AJ55" s="281"/>
      <c r="AK55" s="281"/>
    </row>
    <row r="56" spans="1:38" ht="15" x14ac:dyDescent="0.25">
      <c r="C56" s="499"/>
      <c r="D56" s="499"/>
      <c r="E56" s="5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Y56" s="281"/>
      <c r="Z56" s="281"/>
      <c r="AA56" s="281"/>
      <c r="AB56" s="281"/>
      <c r="AC56" s="281"/>
      <c r="AD56" s="281"/>
      <c r="AE56" s="281"/>
      <c r="AF56" s="281"/>
      <c r="AG56" s="281"/>
      <c r="AH56" s="281"/>
      <c r="AI56" s="281"/>
      <c r="AJ56" s="281"/>
      <c r="AK56" s="281"/>
    </row>
    <row r="57" spans="1:38" ht="15" x14ac:dyDescent="0.25">
      <c r="C57" s="499"/>
      <c r="D57" s="499"/>
      <c r="E57" s="5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Y57" s="281"/>
      <c r="Z57" s="281"/>
      <c r="AA57" s="281"/>
      <c r="AB57" s="281"/>
      <c r="AC57" s="281"/>
      <c r="AD57" s="281"/>
      <c r="AE57" s="281"/>
      <c r="AF57" s="281"/>
      <c r="AG57" s="281"/>
      <c r="AH57" s="281"/>
      <c r="AI57" s="281"/>
      <c r="AJ57" s="281"/>
      <c r="AK57" s="281"/>
    </row>
    <row r="58" spans="1:38" ht="15" x14ac:dyDescent="0.25">
      <c r="C58" s="499"/>
      <c r="D58" s="499"/>
      <c r="E58" s="5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Y58" s="281"/>
      <c r="Z58" s="281"/>
      <c r="AA58" s="281"/>
      <c r="AB58" s="281"/>
      <c r="AC58" s="281"/>
      <c r="AD58" s="281"/>
      <c r="AE58" s="281"/>
      <c r="AF58" s="281"/>
      <c r="AG58" s="281"/>
      <c r="AH58" s="281"/>
      <c r="AI58" s="281"/>
      <c r="AJ58" s="281"/>
      <c r="AK58" s="281"/>
    </row>
    <row r="59" spans="1:38" ht="15" x14ac:dyDescent="0.25">
      <c r="C59" s="499"/>
      <c r="D59" s="499"/>
      <c r="E59" s="5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Y59" s="281"/>
      <c r="Z59" s="281"/>
      <c r="AA59" s="281"/>
      <c r="AB59" s="281"/>
      <c r="AC59" s="281"/>
      <c r="AD59" s="281"/>
      <c r="AE59" s="281"/>
      <c r="AF59" s="281"/>
      <c r="AG59" s="281"/>
      <c r="AH59" s="281"/>
      <c r="AI59" s="281"/>
      <c r="AJ59" s="281"/>
      <c r="AK59" s="281"/>
    </row>
    <row r="60" spans="1:38" ht="15" x14ac:dyDescent="0.25">
      <c r="C60" s="499"/>
      <c r="D60" s="499"/>
      <c r="E60" s="5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Y60" s="281"/>
      <c r="Z60" s="281"/>
      <c r="AA60" s="281"/>
      <c r="AB60" s="281"/>
      <c r="AC60" s="281"/>
      <c r="AD60" s="281"/>
      <c r="AE60" s="281"/>
      <c r="AF60" s="281"/>
      <c r="AG60" s="281"/>
      <c r="AH60" s="281"/>
      <c r="AI60" s="281"/>
      <c r="AJ60" s="281"/>
      <c r="AK60" s="281"/>
    </row>
    <row r="61" spans="1:38" ht="15" x14ac:dyDescent="0.25">
      <c r="C61" s="499"/>
      <c r="D61" s="499"/>
      <c r="E61" s="5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Y61" s="281"/>
      <c r="Z61" s="281"/>
      <c r="AA61" s="281"/>
      <c r="AB61" s="281"/>
      <c r="AC61" s="281"/>
      <c r="AD61" s="281"/>
      <c r="AE61" s="281"/>
      <c r="AF61" s="1027"/>
      <c r="AG61" s="1027"/>
      <c r="AH61" s="1027"/>
      <c r="AI61" s="281"/>
      <c r="AJ61" s="281"/>
      <c r="AK61" s="281"/>
    </row>
    <row r="62" spans="1:38" ht="15" x14ac:dyDescent="0.25">
      <c r="C62" s="499"/>
      <c r="D62" s="499"/>
      <c r="E62" s="5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Y62" s="281"/>
      <c r="Z62" s="281"/>
      <c r="AA62" s="281"/>
      <c r="AB62" s="281"/>
      <c r="AC62" s="281"/>
      <c r="AD62" s="281"/>
      <c r="AE62" s="281"/>
      <c r="AF62" s="1027"/>
      <c r="AG62" s="1027"/>
      <c r="AH62" s="1027"/>
      <c r="AI62" s="281"/>
      <c r="AJ62" s="281"/>
      <c r="AK62" s="281"/>
    </row>
    <row r="63" spans="1:38" ht="15" x14ac:dyDescent="0.25">
      <c r="C63" s="499"/>
      <c r="D63" s="499"/>
      <c r="E63" s="5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AB63"/>
      <c r="AC63"/>
    </row>
  </sheetData>
  <sheetProtection algorithmName="SHA-512" hashValue="VsnX/gWhYMO2l1kTR2v+5vpY/jr7s02BJ342hrnDvg9B+MSaJg7/K93Tn+Msa7r5vu0/SV4evIOZ4EY3VtuZnw==" saltValue="vmkcNT7KpypOtuNtobUGFA==" spinCount="100000" sheet="1" objects="1" scenarios="1"/>
  <conditionalFormatting sqref="Y4:Y7 Y11:Y13 AF12:AF13 Y43 Y45 Y48 Y50">
    <cfRule type="expression" dxfId="35" priority="5">
      <formula>$Y4="y"</formula>
    </cfRule>
  </conditionalFormatting>
  <conditionalFormatting sqref="Z4:Z7 Y8:Y10 Z11 Z48:Z51">
    <cfRule type="expression" dxfId="34" priority="4">
      <formula>#REF!="y"</formula>
    </cfRule>
  </conditionalFormatting>
  <conditionalFormatting sqref="AF26:AF27">
    <cfRule type="expression" dxfId="33" priority="6">
      <formula>$Y35="y"</formula>
    </cfRule>
  </conditionalFormatting>
  <conditionalFormatting sqref="AH14:AH15 AJ14:AJ15 AF14:AF25 Y14:Y41 AH18:AH19 AJ18:AJ19 AH22:AH23 AJ22:AJ23 AG28 AG39:AG43">
    <cfRule type="expression" dxfId="32" priority="3">
      <formula>#REF!="y"</formula>
    </cfRule>
  </conditionalFormatting>
  <pageMargins left="0.25" right="0.25" top="0.75" bottom="0.75" header="0.3" footer="0.3"/>
  <pageSetup scale="9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6F70B-A639-4FB2-828D-EEDCAD507459}">
  <sheetPr codeName="Sheet11">
    <outlinePr summaryBelow="0"/>
  </sheetPr>
  <dimension ref="A1:AH59"/>
  <sheetViews>
    <sheetView showGridLines="0" zoomScale="90" zoomScaleNormal="90" workbookViewId="0">
      <selection activeCell="P22" sqref="P22"/>
    </sheetView>
  </sheetViews>
  <sheetFormatPr defaultRowHeight="15" outlineLevelRow="1" outlineLevelCol="1" x14ac:dyDescent="0.25"/>
  <cols>
    <col min="1" max="1" width="1.7109375" customWidth="1"/>
    <col min="2" max="3" width="10.140625" hidden="1" customWidth="1" outlineLevel="1"/>
    <col min="4" max="4" width="2.7109375" hidden="1" customWidth="1" outlineLevel="1"/>
    <col min="5" max="10" width="11.140625" hidden="1" customWidth="1" outlineLevel="1"/>
    <col min="11" max="11" width="8.85546875" hidden="1" customWidth="1" outlineLevel="1"/>
    <col min="12" max="12" width="1.7109375" hidden="1" customWidth="1" outlineLevel="1"/>
    <col min="13" max="13" width="17.28515625" customWidth="1" collapsed="1"/>
    <col min="14" max="14" width="16.85546875" customWidth="1"/>
    <col min="15" max="15" width="20.5703125" customWidth="1"/>
    <col min="16" max="16" width="16.5703125" customWidth="1"/>
    <col min="17" max="17" width="15.85546875" customWidth="1"/>
    <col min="18" max="18" width="16.140625" customWidth="1"/>
  </cols>
  <sheetData>
    <row r="1" spans="1:34" ht="8.1" customHeight="1" x14ac:dyDescent="0.25"/>
    <row r="2" spans="1:34" ht="21" x14ac:dyDescent="0.35">
      <c r="B2" s="29"/>
      <c r="M2" s="1" t="s">
        <v>87</v>
      </c>
    </row>
    <row r="3" spans="1:34" collapsed="1" x14ac:dyDescent="0.25"/>
    <row r="4" spans="1:34" s="9" customFormat="1" ht="15.75" hidden="1" outlineLevel="1" x14ac:dyDescent="0.25">
      <c r="A4"/>
      <c r="B4" s="743" t="s">
        <v>893</v>
      </c>
      <c r="C4" s="743" t="s">
        <v>894</v>
      </c>
      <c r="D4" s="26"/>
      <c r="E4" s="27"/>
      <c r="F4" s="27"/>
      <c r="G4" s="27"/>
      <c r="I4"/>
      <c r="J4"/>
      <c r="K4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Y4" s="8"/>
      <c r="Z4" s="8"/>
      <c r="AB4" s="30"/>
      <c r="AC4" s="30"/>
      <c r="AF4" s="7"/>
      <c r="AG4" s="7"/>
      <c r="AH4" s="7"/>
    </row>
    <row r="5" spans="1:34" s="9" customFormat="1" ht="15.75" hidden="1" outlineLevel="1" x14ac:dyDescent="0.25">
      <c r="A5"/>
      <c r="B5" s="2">
        <v>160</v>
      </c>
      <c r="C5" s="2" t="s">
        <v>680</v>
      </c>
      <c r="D5" s="26"/>
      <c r="E5" s="27"/>
      <c r="F5" s="27"/>
      <c r="G5" s="27"/>
      <c r="H5" s="39" t="s">
        <v>747</v>
      </c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Y5" s="8"/>
      <c r="Z5" s="8"/>
      <c r="AB5" s="30"/>
      <c r="AC5" s="30"/>
      <c r="AF5" s="7"/>
      <c r="AG5" s="7"/>
      <c r="AH5" s="7"/>
    </row>
    <row r="6" spans="1:34" hidden="1" outlineLevel="1" x14ac:dyDescent="0.25"/>
    <row r="7" spans="1:34" hidden="1" outlineLevel="1" x14ac:dyDescent="0.25"/>
    <row r="8" spans="1:34" hidden="1" outlineLevel="1" x14ac:dyDescent="0.25"/>
    <row r="9" spans="1:34" hidden="1" outlineLevel="1" x14ac:dyDescent="0.25"/>
    <row r="10" spans="1:34" x14ac:dyDescent="0.25">
      <c r="D10" s="515"/>
      <c r="H10" s="511" t="s">
        <v>648</v>
      </c>
      <c r="I10" s="515" t="s">
        <v>653</v>
      </c>
      <c r="M10" s="511" t="str">
        <f>_xlfn.CONCAT($H$10,"  ",I10)</f>
        <v>•  Class X (.00004" tolerance)</v>
      </c>
    </row>
    <row r="11" spans="1:34" x14ac:dyDescent="0.25">
      <c r="D11" s="515"/>
      <c r="H11" s="511"/>
      <c r="I11" s="515" t="s">
        <v>641</v>
      </c>
      <c r="M11" s="511" t="str">
        <f>_xlfn.CONCAT($H$10,"  ",I11)</f>
        <v>•  Go (Plus) or NoGo (Minus)</v>
      </c>
    </row>
    <row r="12" spans="1:34" x14ac:dyDescent="0.25">
      <c r="D12" s="515"/>
      <c r="I12" s="515" t="s">
        <v>654</v>
      </c>
      <c r="M12" s="511" t="str">
        <f>_xlfn.CONCAT($H$10,"  ",I12)</f>
        <v>•  .001" increments</v>
      </c>
      <c r="N12" s="511"/>
    </row>
    <row r="13" spans="1:34" ht="15.75" thickBot="1" x14ac:dyDescent="0.3">
      <c r="M13" s="35"/>
      <c r="N13" s="35"/>
      <c r="O13" s="35"/>
      <c r="P13" s="35"/>
      <c r="Q13" s="35"/>
      <c r="R13" s="35"/>
    </row>
    <row r="14" spans="1:34" x14ac:dyDescent="0.25">
      <c r="B14" s="22" t="s">
        <v>634</v>
      </c>
      <c r="C14" s="3"/>
      <c r="D14" s="3"/>
      <c r="J14" s="5"/>
      <c r="K14" s="5"/>
      <c r="M14" s="767" t="s">
        <v>680</v>
      </c>
      <c r="N14" s="770"/>
      <c r="O14" s="770"/>
      <c r="P14" s="770"/>
      <c r="Q14" s="770"/>
      <c r="R14" s="771"/>
    </row>
    <row r="15" spans="1:34" ht="30" x14ac:dyDescent="0.25">
      <c r="B15" s="21" t="s">
        <v>6</v>
      </c>
      <c r="C15" s="20"/>
      <c r="E15" s="671" t="s">
        <v>9</v>
      </c>
      <c r="F15" s="477" t="s">
        <v>632</v>
      </c>
      <c r="G15" s="477" t="s">
        <v>633</v>
      </c>
      <c r="H15" s="478" t="s">
        <v>636</v>
      </c>
      <c r="I15" s="475"/>
      <c r="J15" s="479">
        <v>0.25</v>
      </c>
      <c r="K15" s="488"/>
      <c r="M15" s="214" t="s">
        <v>9</v>
      </c>
      <c r="N15" s="215" t="s">
        <v>10</v>
      </c>
      <c r="O15" s="216" t="s">
        <v>3</v>
      </c>
      <c r="P15" s="215" t="s">
        <v>11</v>
      </c>
      <c r="Q15" s="216" t="s">
        <v>12</v>
      </c>
      <c r="R15" s="217" t="s">
        <v>573</v>
      </c>
    </row>
    <row r="16" spans="1:34" x14ac:dyDescent="0.25">
      <c r="B16" s="465">
        <v>1.0999999999999999E-2</v>
      </c>
      <c r="C16" s="465">
        <v>0.06</v>
      </c>
      <c r="D16" s="465"/>
      <c r="E16" s="13" t="s">
        <v>88</v>
      </c>
      <c r="F16" s="978">
        <v>650</v>
      </c>
      <c r="G16" s="982">
        <v>780</v>
      </c>
      <c r="H16" s="727">
        <f>IF(G16=0,0,G16-F16)</f>
        <v>130</v>
      </c>
      <c r="I16" s="463">
        <f>H16/F16</f>
        <v>0.2</v>
      </c>
      <c r="J16" s="480">
        <f>IFERROR(((1-$J$15)*G16),0)</f>
        <v>585</v>
      </c>
      <c r="K16" s="6"/>
      <c r="M16" s="198" t="s">
        <v>88</v>
      </c>
      <c r="N16" s="220" t="s">
        <v>14</v>
      </c>
      <c r="O16" s="221" t="str">
        <f>_xlfn.CONCAT(TEXT($B16,"#.000#"),"""","  to  ",TEXT($C16,"#.000#"),"""")</f>
        <v>.011"  to  .060"</v>
      </c>
      <c r="P16" s="220">
        <v>50</v>
      </c>
      <c r="Q16" s="222">
        <v>1</v>
      </c>
      <c r="R16" s="223">
        <f>$G16</f>
        <v>780</v>
      </c>
    </row>
    <row r="17" spans="2:18" x14ac:dyDescent="0.25">
      <c r="B17" s="465">
        <v>1.0999999999999999E-2</v>
      </c>
      <c r="C17" s="465">
        <v>0.06</v>
      </c>
      <c r="D17" s="465"/>
      <c r="E17" s="13" t="s">
        <v>89</v>
      </c>
      <c r="F17" s="979">
        <v>650</v>
      </c>
      <c r="G17" s="983">
        <v>780</v>
      </c>
      <c r="H17" s="727">
        <f t="shared" ref="H17:H51" si="0">IF(G17=0,0,G17-F17)</f>
        <v>130</v>
      </c>
      <c r="I17" s="463">
        <f t="shared" ref="I17:I51" si="1">H17/F17</f>
        <v>0.2</v>
      </c>
      <c r="J17" s="481">
        <f t="shared" ref="J17:J51" si="2">IFERROR(((1-$J$15)*G17),0)</f>
        <v>585</v>
      </c>
      <c r="K17" s="6"/>
      <c r="M17" s="198" t="s">
        <v>89</v>
      </c>
      <c r="N17" s="220" t="s">
        <v>17</v>
      </c>
      <c r="O17" s="221" t="str">
        <f t="shared" ref="O17:O51" si="3">_xlfn.CONCAT(TEXT($B17,"#.000#"),"""","  to  ",TEXT($C17,"#.000#"),"""")</f>
        <v>.011"  to  .060"</v>
      </c>
      <c r="P17" s="220">
        <v>50</v>
      </c>
      <c r="Q17" s="222">
        <v>1</v>
      </c>
      <c r="R17" s="224">
        <f t="shared" ref="R17:R51" si="4">$G17</f>
        <v>780</v>
      </c>
    </row>
    <row r="18" spans="2:18" x14ac:dyDescent="0.25">
      <c r="B18" s="465">
        <v>1.15E-2</v>
      </c>
      <c r="C18" s="465">
        <v>6.0499999999999998E-2</v>
      </c>
      <c r="D18" s="465"/>
      <c r="E18" s="976" t="s">
        <v>90</v>
      </c>
      <c r="F18" s="980">
        <v>650</v>
      </c>
      <c r="G18" s="984">
        <v>800</v>
      </c>
      <c r="H18" s="977">
        <f t="shared" si="0"/>
        <v>150</v>
      </c>
      <c r="I18" s="470">
        <f t="shared" si="1"/>
        <v>0.23076923076923078</v>
      </c>
      <c r="J18" s="482">
        <f t="shared" si="2"/>
        <v>600</v>
      </c>
      <c r="K18" s="6"/>
      <c r="M18" s="225" t="s">
        <v>90</v>
      </c>
      <c r="N18" s="226" t="s">
        <v>14</v>
      </c>
      <c r="O18" s="226" t="str">
        <f t="shared" si="3"/>
        <v>.0115"  to  .0605"</v>
      </c>
      <c r="P18" s="226">
        <v>50</v>
      </c>
      <c r="Q18" s="227">
        <v>1</v>
      </c>
      <c r="R18" s="228">
        <f t="shared" si="4"/>
        <v>800</v>
      </c>
    </row>
    <row r="19" spans="2:18" x14ac:dyDescent="0.25">
      <c r="B19" s="465">
        <v>1.15E-2</v>
      </c>
      <c r="C19" s="465">
        <v>6.0499999999999998E-2</v>
      </c>
      <c r="D19" s="465"/>
      <c r="E19" s="975" t="s">
        <v>91</v>
      </c>
      <c r="F19" s="981">
        <v>650</v>
      </c>
      <c r="G19" s="985">
        <v>800</v>
      </c>
      <c r="H19" s="974">
        <f t="shared" si="0"/>
        <v>150</v>
      </c>
      <c r="I19" s="474">
        <f t="shared" si="1"/>
        <v>0.23076923076923078</v>
      </c>
      <c r="J19" s="483">
        <f t="shared" si="2"/>
        <v>600</v>
      </c>
      <c r="K19" s="6"/>
      <c r="M19" s="229" t="s">
        <v>91</v>
      </c>
      <c r="N19" s="230" t="s">
        <v>17</v>
      </c>
      <c r="O19" s="231" t="str">
        <f t="shared" si="3"/>
        <v>.0115"  to  .0605"</v>
      </c>
      <c r="P19" s="230">
        <v>50</v>
      </c>
      <c r="Q19" s="232">
        <v>1</v>
      </c>
      <c r="R19" s="233">
        <f t="shared" si="4"/>
        <v>800</v>
      </c>
    </row>
    <row r="20" spans="2:18" x14ac:dyDescent="0.25">
      <c r="B20" s="465">
        <v>1.0999999999999999E-2</v>
      </c>
      <c r="C20" s="465">
        <v>0.25</v>
      </c>
      <c r="D20" s="465"/>
      <c r="E20" s="13" t="s">
        <v>96</v>
      </c>
      <c r="F20" s="979">
        <v>2260</v>
      </c>
      <c r="G20" s="983">
        <v>2620</v>
      </c>
      <c r="H20" s="727">
        <f t="shared" si="0"/>
        <v>360</v>
      </c>
      <c r="I20" s="463">
        <f t="shared" si="1"/>
        <v>0.15929203539823009</v>
      </c>
      <c r="J20" s="481">
        <f t="shared" si="2"/>
        <v>1965</v>
      </c>
      <c r="M20" s="198" t="s">
        <v>96</v>
      </c>
      <c r="N20" s="220" t="s">
        <v>14</v>
      </c>
      <c r="O20" s="221" t="str">
        <f t="shared" si="3"/>
        <v>.011"  to  .250"</v>
      </c>
      <c r="P20" s="220">
        <v>240</v>
      </c>
      <c r="Q20" s="222">
        <v>7</v>
      </c>
      <c r="R20" s="224">
        <f t="shared" si="4"/>
        <v>2620</v>
      </c>
    </row>
    <row r="21" spans="2:18" x14ac:dyDescent="0.25">
      <c r="B21" s="465">
        <v>1.0999999999999999E-2</v>
      </c>
      <c r="C21" s="465">
        <v>0.25</v>
      </c>
      <c r="D21" s="465"/>
      <c r="E21" s="13" t="s">
        <v>97</v>
      </c>
      <c r="F21" s="979">
        <v>2260</v>
      </c>
      <c r="G21" s="983">
        <v>2620</v>
      </c>
      <c r="H21" s="727">
        <f t="shared" si="0"/>
        <v>360</v>
      </c>
      <c r="I21" s="463">
        <f t="shared" si="1"/>
        <v>0.15929203539823009</v>
      </c>
      <c r="J21" s="481">
        <f t="shared" si="2"/>
        <v>1965</v>
      </c>
      <c r="M21" s="198" t="s">
        <v>97</v>
      </c>
      <c r="N21" s="220" t="s">
        <v>17</v>
      </c>
      <c r="O21" s="221" t="str">
        <f t="shared" si="3"/>
        <v>.011"  to  .250"</v>
      </c>
      <c r="P21" s="220">
        <v>240</v>
      </c>
      <c r="Q21" s="222">
        <v>7</v>
      </c>
      <c r="R21" s="224">
        <f t="shared" si="4"/>
        <v>2620</v>
      </c>
    </row>
    <row r="22" spans="2:18" x14ac:dyDescent="0.25">
      <c r="B22" s="465">
        <v>1.15E-2</v>
      </c>
      <c r="C22" s="465">
        <v>0.2505</v>
      </c>
      <c r="D22" s="465"/>
      <c r="E22" s="976" t="s">
        <v>98</v>
      </c>
      <c r="F22" s="980">
        <v>2260</v>
      </c>
      <c r="G22" s="984">
        <v>2640</v>
      </c>
      <c r="H22" s="977">
        <f t="shared" si="0"/>
        <v>380</v>
      </c>
      <c r="I22" s="470">
        <f t="shared" si="1"/>
        <v>0.16814159292035399</v>
      </c>
      <c r="J22" s="482">
        <f t="shared" si="2"/>
        <v>1980</v>
      </c>
      <c r="M22" s="225" t="s">
        <v>98</v>
      </c>
      <c r="N22" s="226" t="s">
        <v>14</v>
      </c>
      <c r="O22" s="226" t="str">
        <f t="shared" si="3"/>
        <v>.0115"  to  .2505"</v>
      </c>
      <c r="P22" s="226">
        <v>240</v>
      </c>
      <c r="Q22" s="227">
        <v>7</v>
      </c>
      <c r="R22" s="228">
        <f t="shared" si="4"/>
        <v>2640</v>
      </c>
    </row>
    <row r="23" spans="2:18" x14ac:dyDescent="0.25">
      <c r="B23" s="465">
        <v>1.15E-2</v>
      </c>
      <c r="C23" s="465">
        <v>0.2505</v>
      </c>
      <c r="D23" s="465"/>
      <c r="E23" s="975" t="s">
        <v>99</v>
      </c>
      <c r="F23" s="981">
        <v>2260</v>
      </c>
      <c r="G23" s="985">
        <v>2640</v>
      </c>
      <c r="H23" s="974">
        <f t="shared" si="0"/>
        <v>380</v>
      </c>
      <c r="I23" s="474">
        <f t="shared" si="1"/>
        <v>0.16814159292035399</v>
      </c>
      <c r="J23" s="483">
        <f t="shared" si="2"/>
        <v>1980</v>
      </c>
      <c r="M23" s="229" t="s">
        <v>99</v>
      </c>
      <c r="N23" s="230" t="s">
        <v>17</v>
      </c>
      <c r="O23" s="231" t="str">
        <f t="shared" si="3"/>
        <v>.0115"  to  .2505"</v>
      </c>
      <c r="P23" s="230">
        <v>240</v>
      </c>
      <c r="Q23" s="232">
        <v>7</v>
      </c>
      <c r="R23" s="233">
        <f t="shared" si="4"/>
        <v>2640</v>
      </c>
    </row>
    <row r="24" spans="2:18" x14ac:dyDescent="0.25">
      <c r="B24" s="465">
        <v>6.0999999999999999E-2</v>
      </c>
      <c r="C24" s="465">
        <v>0.25</v>
      </c>
      <c r="D24" s="465"/>
      <c r="E24" s="13" t="s">
        <v>92</v>
      </c>
      <c r="F24" s="979">
        <v>1710</v>
      </c>
      <c r="G24" s="983">
        <v>1950</v>
      </c>
      <c r="H24" s="727">
        <f t="shared" si="0"/>
        <v>240</v>
      </c>
      <c r="I24" s="463">
        <f t="shared" si="1"/>
        <v>0.14035087719298245</v>
      </c>
      <c r="J24" s="481">
        <f t="shared" si="2"/>
        <v>1462.5</v>
      </c>
      <c r="K24" s="6"/>
      <c r="M24" s="198" t="s">
        <v>92</v>
      </c>
      <c r="N24" s="220" t="s">
        <v>14</v>
      </c>
      <c r="O24" s="221" t="str">
        <f t="shared" si="3"/>
        <v>.061"  to  .250"</v>
      </c>
      <c r="P24" s="220">
        <v>190</v>
      </c>
      <c r="Q24" s="222">
        <v>7</v>
      </c>
      <c r="R24" s="224">
        <f t="shared" si="4"/>
        <v>1950</v>
      </c>
    </row>
    <row r="25" spans="2:18" x14ac:dyDescent="0.25">
      <c r="B25" s="465">
        <v>6.0999999999999999E-2</v>
      </c>
      <c r="C25" s="465">
        <v>0.25</v>
      </c>
      <c r="D25" s="465"/>
      <c r="E25" s="13" t="s">
        <v>93</v>
      </c>
      <c r="F25" s="979">
        <v>1710</v>
      </c>
      <c r="G25" s="983">
        <v>1950</v>
      </c>
      <c r="H25" s="727">
        <f t="shared" si="0"/>
        <v>240</v>
      </c>
      <c r="I25" s="463">
        <f t="shared" si="1"/>
        <v>0.14035087719298245</v>
      </c>
      <c r="J25" s="481">
        <f t="shared" si="2"/>
        <v>1462.5</v>
      </c>
      <c r="K25" s="6"/>
      <c r="M25" s="198" t="s">
        <v>93</v>
      </c>
      <c r="N25" s="220" t="s">
        <v>17</v>
      </c>
      <c r="O25" s="221" t="str">
        <f t="shared" si="3"/>
        <v>.061"  to  .250"</v>
      </c>
      <c r="P25" s="220">
        <v>190</v>
      </c>
      <c r="Q25" s="222">
        <v>7</v>
      </c>
      <c r="R25" s="224">
        <f t="shared" si="4"/>
        <v>1950</v>
      </c>
    </row>
    <row r="26" spans="2:18" x14ac:dyDescent="0.25">
      <c r="B26" s="465">
        <v>6.1499999999999999E-2</v>
      </c>
      <c r="C26" s="465">
        <v>0.2505</v>
      </c>
      <c r="D26" s="465"/>
      <c r="E26" s="976" t="s">
        <v>94</v>
      </c>
      <c r="F26" s="980">
        <v>1710</v>
      </c>
      <c r="G26" s="984">
        <v>1970</v>
      </c>
      <c r="H26" s="977">
        <f t="shared" si="0"/>
        <v>260</v>
      </c>
      <c r="I26" s="470">
        <f t="shared" si="1"/>
        <v>0.15204678362573099</v>
      </c>
      <c r="J26" s="482">
        <f t="shared" si="2"/>
        <v>1477.5</v>
      </c>
      <c r="K26" s="6"/>
      <c r="M26" s="225" t="s">
        <v>94</v>
      </c>
      <c r="N26" s="226" t="s">
        <v>14</v>
      </c>
      <c r="O26" s="226" t="str">
        <f t="shared" si="3"/>
        <v>.0615"  to  .2505"</v>
      </c>
      <c r="P26" s="226">
        <v>190</v>
      </c>
      <c r="Q26" s="227">
        <v>7</v>
      </c>
      <c r="R26" s="228">
        <f t="shared" si="4"/>
        <v>1970</v>
      </c>
    </row>
    <row r="27" spans="2:18" x14ac:dyDescent="0.25">
      <c r="B27" s="465">
        <v>6.1499999999999999E-2</v>
      </c>
      <c r="C27" s="465">
        <v>0.2505</v>
      </c>
      <c r="D27" s="465"/>
      <c r="E27" s="975" t="s">
        <v>95</v>
      </c>
      <c r="F27" s="981">
        <v>1710</v>
      </c>
      <c r="G27" s="985">
        <v>1970</v>
      </c>
      <c r="H27" s="974">
        <f t="shared" si="0"/>
        <v>260</v>
      </c>
      <c r="I27" s="474">
        <f t="shared" si="1"/>
        <v>0.15204678362573099</v>
      </c>
      <c r="J27" s="483">
        <f t="shared" si="2"/>
        <v>1477.5</v>
      </c>
      <c r="K27" s="6"/>
      <c r="M27" s="229" t="s">
        <v>95</v>
      </c>
      <c r="N27" s="230" t="s">
        <v>17</v>
      </c>
      <c r="O27" s="231" t="str">
        <f t="shared" si="3"/>
        <v>.0615"  to  .2505"</v>
      </c>
      <c r="P27" s="230">
        <v>190</v>
      </c>
      <c r="Q27" s="232">
        <v>7</v>
      </c>
      <c r="R27" s="233">
        <f t="shared" si="4"/>
        <v>1970</v>
      </c>
    </row>
    <row r="28" spans="2:18" x14ac:dyDescent="0.25">
      <c r="B28" s="465">
        <v>0.251</v>
      </c>
      <c r="C28" s="465">
        <v>0.5</v>
      </c>
      <c r="D28" s="465"/>
      <c r="E28" s="13" t="s">
        <v>100</v>
      </c>
      <c r="F28" s="979">
        <v>2260</v>
      </c>
      <c r="G28" s="983">
        <v>2480</v>
      </c>
      <c r="H28" s="727">
        <f t="shared" si="0"/>
        <v>220</v>
      </c>
      <c r="I28" s="463">
        <f t="shared" si="1"/>
        <v>9.7345132743362831E-2</v>
      </c>
      <c r="J28" s="481">
        <f t="shared" si="2"/>
        <v>1860</v>
      </c>
      <c r="M28" s="198" t="s">
        <v>100</v>
      </c>
      <c r="N28" s="220" t="s">
        <v>14</v>
      </c>
      <c r="O28" s="221" t="str">
        <f t="shared" si="3"/>
        <v>.251"  to  .500"</v>
      </c>
      <c r="P28" s="220">
        <v>250</v>
      </c>
      <c r="Q28" s="222">
        <v>23</v>
      </c>
      <c r="R28" s="224">
        <f t="shared" si="4"/>
        <v>2480</v>
      </c>
    </row>
    <row r="29" spans="2:18" x14ac:dyDescent="0.25">
      <c r="B29" s="465">
        <v>0.251</v>
      </c>
      <c r="C29" s="465">
        <v>0.5</v>
      </c>
      <c r="D29" s="465"/>
      <c r="E29" s="13" t="s">
        <v>101</v>
      </c>
      <c r="F29" s="979">
        <v>2260</v>
      </c>
      <c r="G29" s="983">
        <v>2480</v>
      </c>
      <c r="H29" s="727">
        <f t="shared" si="0"/>
        <v>220</v>
      </c>
      <c r="I29" s="463">
        <f t="shared" si="1"/>
        <v>9.7345132743362831E-2</v>
      </c>
      <c r="J29" s="481">
        <f t="shared" si="2"/>
        <v>1860</v>
      </c>
      <c r="M29" s="198" t="s">
        <v>101</v>
      </c>
      <c r="N29" s="220" t="s">
        <v>17</v>
      </c>
      <c r="O29" s="221" t="str">
        <f t="shared" si="3"/>
        <v>.251"  to  .500"</v>
      </c>
      <c r="P29" s="220">
        <v>250</v>
      </c>
      <c r="Q29" s="222">
        <v>23</v>
      </c>
      <c r="R29" s="224">
        <f t="shared" si="4"/>
        <v>2480</v>
      </c>
    </row>
    <row r="30" spans="2:18" x14ac:dyDescent="0.25">
      <c r="B30" s="465">
        <v>0.2515</v>
      </c>
      <c r="C30" s="465">
        <v>0.50049999999999994</v>
      </c>
      <c r="D30" s="465"/>
      <c r="E30" s="976" t="s">
        <v>102</v>
      </c>
      <c r="F30" s="980">
        <v>2260</v>
      </c>
      <c r="G30" s="984">
        <v>2500</v>
      </c>
      <c r="H30" s="977">
        <f t="shared" si="0"/>
        <v>240</v>
      </c>
      <c r="I30" s="470">
        <f t="shared" si="1"/>
        <v>0.10619469026548672</v>
      </c>
      <c r="J30" s="482">
        <f t="shared" si="2"/>
        <v>1875</v>
      </c>
      <c r="M30" s="225" t="s">
        <v>102</v>
      </c>
      <c r="N30" s="226" t="s">
        <v>14</v>
      </c>
      <c r="O30" s="226" t="str">
        <f t="shared" si="3"/>
        <v>.2515"  to  .5005"</v>
      </c>
      <c r="P30" s="226">
        <v>250</v>
      </c>
      <c r="Q30" s="227">
        <v>23</v>
      </c>
      <c r="R30" s="228">
        <f t="shared" si="4"/>
        <v>2500</v>
      </c>
    </row>
    <row r="31" spans="2:18" x14ac:dyDescent="0.25">
      <c r="B31" s="465">
        <v>0.2515</v>
      </c>
      <c r="C31" s="465">
        <v>0.50049999999999994</v>
      </c>
      <c r="D31" s="465"/>
      <c r="E31" s="975" t="s">
        <v>103</v>
      </c>
      <c r="F31" s="981">
        <v>2260</v>
      </c>
      <c r="G31" s="985">
        <v>2500</v>
      </c>
      <c r="H31" s="974">
        <f t="shared" si="0"/>
        <v>240</v>
      </c>
      <c r="I31" s="474">
        <f t="shared" si="1"/>
        <v>0.10619469026548672</v>
      </c>
      <c r="J31" s="483">
        <f t="shared" si="2"/>
        <v>1875</v>
      </c>
      <c r="M31" s="229" t="s">
        <v>103</v>
      </c>
      <c r="N31" s="230" t="s">
        <v>17</v>
      </c>
      <c r="O31" s="231" t="str">
        <f t="shared" si="3"/>
        <v>.2515"  to  .5005"</v>
      </c>
      <c r="P31" s="230">
        <v>250</v>
      </c>
      <c r="Q31" s="232">
        <v>23</v>
      </c>
      <c r="R31" s="233">
        <f t="shared" si="4"/>
        <v>2500</v>
      </c>
    </row>
    <row r="32" spans="2:18" x14ac:dyDescent="0.25">
      <c r="B32" s="465">
        <v>0.501</v>
      </c>
      <c r="C32" s="465">
        <v>0.625</v>
      </c>
      <c r="D32" s="465"/>
      <c r="E32" s="13" t="s">
        <v>104</v>
      </c>
      <c r="F32" s="979">
        <v>1920</v>
      </c>
      <c r="G32" s="983">
        <v>2080</v>
      </c>
      <c r="H32" s="727">
        <f t="shared" si="0"/>
        <v>160</v>
      </c>
      <c r="I32" s="463">
        <f t="shared" si="1"/>
        <v>8.3333333333333329E-2</v>
      </c>
      <c r="J32" s="481">
        <f t="shared" si="2"/>
        <v>1560</v>
      </c>
      <c r="M32" s="198" t="s">
        <v>104</v>
      </c>
      <c r="N32" s="220" t="s">
        <v>14</v>
      </c>
      <c r="O32" s="221" t="str">
        <f t="shared" si="3"/>
        <v>.501"  to  .625"</v>
      </c>
      <c r="P32" s="220">
        <v>125</v>
      </c>
      <c r="Q32" s="222">
        <v>24</v>
      </c>
      <c r="R32" s="224">
        <f t="shared" si="4"/>
        <v>2080</v>
      </c>
    </row>
    <row r="33" spans="2:18" x14ac:dyDescent="0.25">
      <c r="B33" s="465">
        <v>0.501</v>
      </c>
      <c r="C33" s="465">
        <v>0.625</v>
      </c>
      <c r="D33" s="465"/>
      <c r="E33" s="13" t="s">
        <v>105</v>
      </c>
      <c r="F33" s="979">
        <v>1920</v>
      </c>
      <c r="G33" s="983">
        <v>2080</v>
      </c>
      <c r="H33" s="727">
        <f t="shared" si="0"/>
        <v>160</v>
      </c>
      <c r="I33" s="463">
        <f t="shared" si="1"/>
        <v>8.3333333333333329E-2</v>
      </c>
      <c r="J33" s="481">
        <f t="shared" si="2"/>
        <v>1560</v>
      </c>
      <c r="M33" s="198" t="s">
        <v>105</v>
      </c>
      <c r="N33" s="220" t="s">
        <v>17</v>
      </c>
      <c r="O33" s="221" t="str">
        <f t="shared" si="3"/>
        <v>.501"  to  .625"</v>
      </c>
      <c r="P33" s="220">
        <v>125</v>
      </c>
      <c r="Q33" s="222">
        <v>24</v>
      </c>
      <c r="R33" s="224">
        <f t="shared" si="4"/>
        <v>2080</v>
      </c>
    </row>
    <row r="34" spans="2:18" x14ac:dyDescent="0.25">
      <c r="B34" s="465">
        <v>0.50149999999999995</v>
      </c>
      <c r="C34" s="465">
        <v>0.62549999999999994</v>
      </c>
      <c r="D34" s="465"/>
      <c r="E34" s="976" t="s">
        <v>106</v>
      </c>
      <c r="F34" s="980">
        <v>1920</v>
      </c>
      <c r="G34" s="984">
        <v>2100</v>
      </c>
      <c r="H34" s="977">
        <f t="shared" si="0"/>
        <v>180</v>
      </c>
      <c r="I34" s="470">
        <f t="shared" si="1"/>
        <v>9.375E-2</v>
      </c>
      <c r="J34" s="482">
        <f t="shared" si="2"/>
        <v>1575</v>
      </c>
      <c r="M34" s="225" t="s">
        <v>106</v>
      </c>
      <c r="N34" s="226" t="s">
        <v>14</v>
      </c>
      <c r="O34" s="226" t="str">
        <f t="shared" si="3"/>
        <v>.5015"  to  .6255"</v>
      </c>
      <c r="P34" s="226">
        <v>125</v>
      </c>
      <c r="Q34" s="227">
        <v>24</v>
      </c>
      <c r="R34" s="228">
        <f t="shared" si="4"/>
        <v>2100</v>
      </c>
    </row>
    <row r="35" spans="2:18" x14ac:dyDescent="0.25">
      <c r="B35" s="465">
        <v>0.50149999999999995</v>
      </c>
      <c r="C35" s="465">
        <v>0.62549999999999994</v>
      </c>
      <c r="D35" s="465"/>
      <c r="E35" s="975" t="s">
        <v>107</v>
      </c>
      <c r="F35" s="981">
        <v>1920</v>
      </c>
      <c r="G35" s="985">
        <v>2100</v>
      </c>
      <c r="H35" s="974">
        <f t="shared" si="0"/>
        <v>180</v>
      </c>
      <c r="I35" s="474">
        <f t="shared" si="1"/>
        <v>9.375E-2</v>
      </c>
      <c r="J35" s="483">
        <f t="shared" si="2"/>
        <v>1575</v>
      </c>
      <c r="M35" s="229" t="s">
        <v>107</v>
      </c>
      <c r="N35" s="230" t="s">
        <v>17</v>
      </c>
      <c r="O35" s="231" t="str">
        <f t="shared" si="3"/>
        <v>.5015"  to  .6255"</v>
      </c>
      <c r="P35" s="230">
        <v>125</v>
      </c>
      <c r="Q35" s="232">
        <v>24</v>
      </c>
      <c r="R35" s="233">
        <f t="shared" si="4"/>
        <v>2100</v>
      </c>
    </row>
    <row r="36" spans="2:18" x14ac:dyDescent="0.25">
      <c r="B36" s="465">
        <v>0.626</v>
      </c>
      <c r="C36" s="465">
        <v>0.75</v>
      </c>
      <c r="D36" s="465"/>
      <c r="E36" s="13" t="s">
        <v>108</v>
      </c>
      <c r="F36" s="979">
        <v>2035</v>
      </c>
      <c r="G36" s="983">
        <v>2190</v>
      </c>
      <c r="H36" s="727">
        <f t="shared" si="0"/>
        <v>155</v>
      </c>
      <c r="I36" s="463">
        <f t="shared" si="1"/>
        <v>7.6167076167076173E-2</v>
      </c>
      <c r="J36" s="481">
        <f t="shared" si="2"/>
        <v>1642.5</v>
      </c>
      <c r="M36" s="198" t="s">
        <v>108</v>
      </c>
      <c r="N36" s="220" t="s">
        <v>14</v>
      </c>
      <c r="O36" s="221" t="str">
        <f t="shared" si="3"/>
        <v>.626"  to  .750"</v>
      </c>
      <c r="P36" s="220">
        <v>125</v>
      </c>
      <c r="Q36" s="222">
        <v>33</v>
      </c>
      <c r="R36" s="224">
        <f t="shared" si="4"/>
        <v>2190</v>
      </c>
    </row>
    <row r="37" spans="2:18" x14ac:dyDescent="0.25">
      <c r="B37" s="465">
        <v>0.626</v>
      </c>
      <c r="C37" s="465">
        <v>0.75</v>
      </c>
      <c r="D37" s="465"/>
      <c r="E37" s="13" t="s">
        <v>109</v>
      </c>
      <c r="F37" s="979">
        <v>2035</v>
      </c>
      <c r="G37" s="983">
        <v>2190</v>
      </c>
      <c r="H37" s="727">
        <f t="shared" si="0"/>
        <v>155</v>
      </c>
      <c r="I37" s="463">
        <f t="shared" si="1"/>
        <v>7.6167076167076173E-2</v>
      </c>
      <c r="J37" s="481">
        <f t="shared" si="2"/>
        <v>1642.5</v>
      </c>
      <c r="M37" s="198" t="s">
        <v>109</v>
      </c>
      <c r="N37" s="220" t="s">
        <v>17</v>
      </c>
      <c r="O37" s="221" t="str">
        <f t="shared" si="3"/>
        <v>.626"  to  .750"</v>
      </c>
      <c r="P37" s="220">
        <v>125</v>
      </c>
      <c r="Q37" s="222">
        <v>33</v>
      </c>
      <c r="R37" s="224">
        <f t="shared" si="4"/>
        <v>2190</v>
      </c>
    </row>
    <row r="38" spans="2:18" x14ac:dyDescent="0.25">
      <c r="B38" s="465">
        <v>0.62649999999999995</v>
      </c>
      <c r="C38" s="465">
        <v>0.75049999999999994</v>
      </c>
      <c r="D38" s="465"/>
      <c r="E38" s="976" t="s">
        <v>110</v>
      </c>
      <c r="F38" s="980">
        <v>2035</v>
      </c>
      <c r="G38" s="984">
        <v>2210</v>
      </c>
      <c r="H38" s="977">
        <f t="shared" si="0"/>
        <v>175</v>
      </c>
      <c r="I38" s="470">
        <f t="shared" si="1"/>
        <v>8.5995085995085999E-2</v>
      </c>
      <c r="J38" s="482">
        <f t="shared" si="2"/>
        <v>1657.5</v>
      </c>
      <c r="M38" s="225" t="s">
        <v>110</v>
      </c>
      <c r="N38" s="226" t="s">
        <v>14</v>
      </c>
      <c r="O38" s="226" t="str">
        <f t="shared" si="3"/>
        <v>.6265"  to  .7505"</v>
      </c>
      <c r="P38" s="226">
        <v>125</v>
      </c>
      <c r="Q38" s="227">
        <v>33</v>
      </c>
      <c r="R38" s="228">
        <f t="shared" si="4"/>
        <v>2210</v>
      </c>
    </row>
    <row r="39" spans="2:18" x14ac:dyDescent="0.25">
      <c r="B39" s="465">
        <v>0.62649999999999995</v>
      </c>
      <c r="C39" s="465">
        <v>0.75049999999999994</v>
      </c>
      <c r="D39" s="465"/>
      <c r="E39" s="975" t="s">
        <v>111</v>
      </c>
      <c r="F39" s="981">
        <v>2035</v>
      </c>
      <c r="G39" s="985">
        <v>2210</v>
      </c>
      <c r="H39" s="974">
        <f t="shared" si="0"/>
        <v>175</v>
      </c>
      <c r="I39" s="474">
        <f t="shared" si="1"/>
        <v>8.5995085995085999E-2</v>
      </c>
      <c r="J39" s="483">
        <f t="shared" si="2"/>
        <v>1657.5</v>
      </c>
      <c r="M39" s="229" t="s">
        <v>111</v>
      </c>
      <c r="N39" s="230" t="s">
        <v>17</v>
      </c>
      <c r="O39" s="231" t="str">
        <f t="shared" si="3"/>
        <v>.6265"  to  .7505"</v>
      </c>
      <c r="P39" s="230">
        <v>125</v>
      </c>
      <c r="Q39" s="232">
        <v>33</v>
      </c>
      <c r="R39" s="233">
        <f t="shared" si="4"/>
        <v>2210</v>
      </c>
    </row>
    <row r="40" spans="2:18" x14ac:dyDescent="0.25">
      <c r="B40" s="465">
        <v>0.751</v>
      </c>
      <c r="C40" s="465">
        <v>0.83199999999999996</v>
      </c>
      <c r="D40" s="465"/>
      <c r="E40" s="13" t="s">
        <v>112</v>
      </c>
      <c r="F40" s="979">
        <v>1710</v>
      </c>
      <c r="G40" s="983">
        <v>1820</v>
      </c>
      <c r="H40" s="727">
        <f t="shared" si="0"/>
        <v>110</v>
      </c>
      <c r="I40" s="463">
        <f t="shared" si="1"/>
        <v>6.4327485380116955E-2</v>
      </c>
      <c r="J40" s="481">
        <f t="shared" si="2"/>
        <v>1365</v>
      </c>
      <c r="M40" s="198" t="s">
        <v>112</v>
      </c>
      <c r="N40" s="220" t="s">
        <v>14</v>
      </c>
      <c r="O40" s="221" t="str">
        <f t="shared" si="3"/>
        <v>.751"  to  .832"</v>
      </c>
      <c r="P40" s="220">
        <v>82</v>
      </c>
      <c r="Q40" s="222">
        <v>29</v>
      </c>
      <c r="R40" s="224">
        <f t="shared" si="4"/>
        <v>1820</v>
      </c>
    </row>
    <row r="41" spans="2:18" x14ac:dyDescent="0.25">
      <c r="B41" s="465">
        <v>0.751</v>
      </c>
      <c r="C41" s="465">
        <v>0.83199999999999996</v>
      </c>
      <c r="D41" s="465"/>
      <c r="E41" s="13" t="s">
        <v>113</v>
      </c>
      <c r="F41" s="979">
        <v>1710</v>
      </c>
      <c r="G41" s="983">
        <v>1820</v>
      </c>
      <c r="H41" s="727">
        <f t="shared" si="0"/>
        <v>110</v>
      </c>
      <c r="I41" s="463">
        <f t="shared" si="1"/>
        <v>6.4327485380116955E-2</v>
      </c>
      <c r="J41" s="481">
        <f t="shared" si="2"/>
        <v>1365</v>
      </c>
      <c r="M41" s="198" t="s">
        <v>113</v>
      </c>
      <c r="N41" s="220" t="s">
        <v>17</v>
      </c>
      <c r="O41" s="221" t="str">
        <f t="shared" si="3"/>
        <v>.751"  to  .832"</v>
      </c>
      <c r="P41" s="220">
        <v>82</v>
      </c>
      <c r="Q41" s="222">
        <v>29</v>
      </c>
      <c r="R41" s="224">
        <f t="shared" si="4"/>
        <v>1820</v>
      </c>
    </row>
    <row r="42" spans="2:18" x14ac:dyDescent="0.25">
      <c r="B42" s="465">
        <v>0.75149999999999995</v>
      </c>
      <c r="C42" s="465">
        <v>0.83250000000000002</v>
      </c>
      <c r="D42" s="465"/>
      <c r="E42" s="976" t="s">
        <v>114</v>
      </c>
      <c r="F42" s="980">
        <v>1710</v>
      </c>
      <c r="G42" s="984">
        <v>1840</v>
      </c>
      <c r="H42" s="977">
        <f t="shared" si="0"/>
        <v>130</v>
      </c>
      <c r="I42" s="470">
        <f t="shared" si="1"/>
        <v>7.6023391812865493E-2</v>
      </c>
      <c r="J42" s="482">
        <f t="shared" si="2"/>
        <v>1380</v>
      </c>
      <c r="M42" s="225" t="s">
        <v>114</v>
      </c>
      <c r="N42" s="226" t="s">
        <v>14</v>
      </c>
      <c r="O42" s="226" t="str">
        <f t="shared" si="3"/>
        <v>.7515"  to  .8325"</v>
      </c>
      <c r="P42" s="226">
        <v>82</v>
      </c>
      <c r="Q42" s="227">
        <v>29</v>
      </c>
      <c r="R42" s="228">
        <f t="shared" si="4"/>
        <v>1840</v>
      </c>
    </row>
    <row r="43" spans="2:18" x14ac:dyDescent="0.25">
      <c r="B43" s="465">
        <v>0.75149999999999995</v>
      </c>
      <c r="C43" s="465">
        <v>0.83250000000000002</v>
      </c>
      <c r="D43" s="465"/>
      <c r="E43" s="975" t="s">
        <v>115</v>
      </c>
      <c r="F43" s="981">
        <v>1710</v>
      </c>
      <c r="G43" s="985">
        <v>1840</v>
      </c>
      <c r="H43" s="974">
        <f t="shared" si="0"/>
        <v>130</v>
      </c>
      <c r="I43" s="474">
        <f t="shared" si="1"/>
        <v>7.6023391812865493E-2</v>
      </c>
      <c r="J43" s="483">
        <f t="shared" si="2"/>
        <v>1380</v>
      </c>
      <c r="M43" s="229" t="s">
        <v>115</v>
      </c>
      <c r="N43" s="230" t="s">
        <v>17</v>
      </c>
      <c r="O43" s="231" t="str">
        <f t="shared" si="3"/>
        <v>.7515"  to  .8325"</v>
      </c>
      <c r="P43" s="230">
        <v>82</v>
      </c>
      <c r="Q43" s="232">
        <v>29</v>
      </c>
      <c r="R43" s="233">
        <f t="shared" si="4"/>
        <v>1840</v>
      </c>
    </row>
    <row r="44" spans="2:18" x14ac:dyDescent="0.25">
      <c r="B44" s="465">
        <v>0.83299999999999996</v>
      </c>
      <c r="C44" s="465">
        <v>0.91600000000000004</v>
      </c>
      <c r="D44" s="465"/>
      <c r="E44" s="13" t="s">
        <v>116</v>
      </c>
      <c r="F44" s="979">
        <v>1800</v>
      </c>
      <c r="G44" s="983">
        <v>1900</v>
      </c>
      <c r="H44" s="727">
        <f t="shared" si="0"/>
        <v>100</v>
      </c>
      <c r="I44" s="463">
        <f t="shared" si="1"/>
        <v>5.5555555555555552E-2</v>
      </c>
      <c r="J44" s="481">
        <f t="shared" si="2"/>
        <v>1425</v>
      </c>
      <c r="M44" s="198" t="s">
        <v>116</v>
      </c>
      <c r="N44" s="220" t="s">
        <v>14</v>
      </c>
      <c r="O44" s="221" t="str">
        <f t="shared" si="3"/>
        <v>.833"  to  .916"</v>
      </c>
      <c r="P44" s="220">
        <v>84</v>
      </c>
      <c r="Q44" s="222">
        <v>35</v>
      </c>
      <c r="R44" s="224">
        <f t="shared" si="4"/>
        <v>1900</v>
      </c>
    </row>
    <row r="45" spans="2:18" x14ac:dyDescent="0.25">
      <c r="B45" s="465">
        <v>0.83299999999999996</v>
      </c>
      <c r="C45" s="465">
        <v>0.91600000000000004</v>
      </c>
      <c r="D45" s="465"/>
      <c r="E45" s="13" t="s">
        <v>117</v>
      </c>
      <c r="F45" s="979">
        <v>1800</v>
      </c>
      <c r="G45" s="983">
        <v>1900</v>
      </c>
      <c r="H45" s="727">
        <f t="shared" si="0"/>
        <v>100</v>
      </c>
      <c r="I45" s="463">
        <f t="shared" si="1"/>
        <v>5.5555555555555552E-2</v>
      </c>
      <c r="J45" s="481">
        <f t="shared" si="2"/>
        <v>1425</v>
      </c>
      <c r="M45" s="198" t="s">
        <v>117</v>
      </c>
      <c r="N45" s="220" t="s">
        <v>17</v>
      </c>
      <c r="O45" s="221" t="str">
        <f t="shared" si="3"/>
        <v>.833"  to  .916"</v>
      </c>
      <c r="P45" s="220">
        <v>84</v>
      </c>
      <c r="Q45" s="222">
        <v>35</v>
      </c>
      <c r="R45" s="224">
        <f t="shared" si="4"/>
        <v>1900</v>
      </c>
    </row>
    <row r="46" spans="2:18" x14ac:dyDescent="0.25">
      <c r="B46" s="465">
        <v>0.83350000000000002</v>
      </c>
      <c r="C46" s="465">
        <v>0.91649999999999998</v>
      </c>
      <c r="D46" s="465"/>
      <c r="E46" s="976" t="s">
        <v>118</v>
      </c>
      <c r="F46" s="980">
        <v>1800</v>
      </c>
      <c r="G46" s="984">
        <v>1920</v>
      </c>
      <c r="H46" s="977">
        <f t="shared" si="0"/>
        <v>120</v>
      </c>
      <c r="I46" s="470">
        <f t="shared" si="1"/>
        <v>6.6666666666666666E-2</v>
      </c>
      <c r="J46" s="482">
        <f t="shared" si="2"/>
        <v>1440</v>
      </c>
      <c r="M46" s="225" t="s">
        <v>118</v>
      </c>
      <c r="N46" s="226" t="s">
        <v>14</v>
      </c>
      <c r="O46" s="226" t="str">
        <f t="shared" si="3"/>
        <v>.8335"  to  .9165"</v>
      </c>
      <c r="P46" s="226">
        <v>84</v>
      </c>
      <c r="Q46" s="227">
        <v>35</v>
      </c>
      <c r="R46" s="228">
        <f t="shared" si="4"/>
        <v>1920</v>
      </c>
    </row>
    <row r="47" spans="2:18" x14ac:dyDescent="0.25">
      <c r="B47" s="465">
        <v>0.83350000000000002</v>
      </c>
      <c r="C47" s="465">
        <v>0.91649999999999998</v>
      </c>
      <c r="D47" s="465"/>
      <c r="E47" s="975" t="s">
        <v>119</v>
      </c>
      <c r="F47" s="981">
        <v>1800</v>
      </c>
      <c r="G47" s="985">
        <v>1920</v>
      </c>
      <c r="H47" s="974">
        <f t="shared" si="0"/>
        <v>120</v>
      </c>
      <c r="I47" s="474">
        <f t="shared" si="1"/>
        <v>6.6666666666666666E-2</v>
      </c>
      <c r="J47" s="483">
        <f t="shared" si="2"/>
        <v>1440</v>
      </c>
      <c r="M47" s="229" t="s">
        <v>119</v>
      </c>
      <c r="N47" s="230" t="s">
        <v>17</v>
      </c>
      <c r="O47" s="231" t="str">
        <f t="shared" si="3"/>
        <v>.8335"  to  .9165"</v>
      </c>
      <c r="P47" s="230">
        <v>84</v>
      </c>
      <c r="Q47" s="232">
        <v>35</v>
      </c>
      <c r="R47" s="233">
        <f t="shared" si="4"/>
        <v>1920</v>
      </c>
    </row>
    <row r="48" spans="2:18" x14ac:dyDescent="0.25">
      <c r="B48" s="465">
        <v>0.91700000000000004</v>
      </c>
      <c r="C48" s="465">
        <v>1</v>
      </c>
      <c r="D48" s="465"/>
      <c r="E48" s="13" t="s">
        <v>120</v>
      </c>
      <c r="F48" s="979">
        <v>2065</v>
      </c>
      <c r="G48" s="983">
        <v>2160</v>
      </c>
      <c r="H48" s="727">
        <f t="shared" si="0"/>
        <v>95</v>
      </c>
      <c r="I48" s="463">
        <f t="shared" si="1"/>
        <v>4.6004842615012108E-2</v>
      </c>
      <c r="J48" s="481">
        <f t="shared" si="2"/>
        <v>1620</v>
      </c>
      <c r="M48" s="198" t="s">
        <v>120</v>
      </c>
      <c r="N48" s="220" t="s">
        <v>14</v>
      </c>
      <c r="O48" s="221" t="str">
        <f t="shared" si="3"/>
        <v>.917"  to  1.000"</v>
      </c>
      <c r="P48" s="220">
        <v>84</v>
      </c>
      <c r="Q48" s="222">
        <v>41</v>
      </c>
      <c r="R48" s="224">
        <f t="shared" si="4"/>
        <v>2160</v>
      </c>
    </row>
    <row r="49" spans="1:18" x14ac:dyDescent="0.25">
      <c r="B49" s="465">
        <v>0.91700000000000004</v>
      </c>
      <c r="C49" s="465">
        <v>1</v>
      </c>
      <c r="D49" s="465"/>
      <c r="E49" s="13" t="s">
        <v>121</v>
      </c>
      <c r="F49" s="979">
        <v>2065</v>
      </c>
      <c r="G49" s="983">
        <v>2160</v>
      </c>
      <c r="H49" s="727">
        <f t="shared" si="0"/>
        <v>95</v>
      </c>
      <c r="I49" s="463">
        <f t="shared" si="1"/>
        <v>4.6004842615012108E-2</v>
      </c>
      <c r="J49" s="481">
        <f t="shared" si="2"/>
        <v>1620</v>
      </c>
      <c r="M49" s="198" t="s">
        <v>121</v>
      </c>
      <c r="N49" s="220" t="s">
        <v>17</v>
      </c>
      <c r="O49" s="221" t="str">
        <f t="shared" si="3"/>
        <v>.917"  to  1.000"</v>
      </c>
      <c r="P49" s="220">
        <v>84</v>
      </c>
      <c r="Q49" s="222">
        <v>41</v>
      </c>
      <c r="R49" s="224">
        <f t="shared" si="4"/>
        <v>2160</v>
      </c>
    </row>
    <row r="50" spans="1:18" x14ac:dyDescent="0.25">
      <c r="B50" s="465">
        <v>0.91749999999999998</v>
      </c>
      <c r="C50" s="465">
        <v>1.0004999999999999</v>
      </c>
      <c r="D50" s="465"/>
      <c r="E50" s="976" t="s">
        <v>122</v>
      </c>
      <c r="F50" s="980">
        <v>2065</v>
      </c>
      <c r="G50" s="984">
        <v>2180</v>
      </c>
      <c r="H50" s="977">
        <f t="shared" si="0"/>
        <v>115</v>
      </c>
      <c r="I50" s="470">
        <f t="shared" si="1"/>
        <v>5.569007263922518E-2</v>
      </c>
      <c r="J50" s="482">
        <f t="shared" si="2"/>
        <v>1635</v>
      </c>
      <c r="M50" s="225" t="s">
        <v>122</v>
      </c>
      <c r="N50" s="226" t="s">
        <v>14</v>
      </c>
      <c r="O50" s="226" t="str">
        <f t="shared" si="3"/>
        <v>.9175"  to  1.0005"</v>
      </c>
      <c r="P50" s="226">
        <v>84</v>
      </c>
      <c r="Q50" s="227">
        <v>41</v>
      </c>
      <c r="R50" s="228">
        <f t="shared" si="4"/>
        <v>2180</v>
      </c>
    </row>
    <row r="51" spans="1:18" ht="15.75" thickBot="1" x14ac:dyDescent="0.3">
      <c r="B51" s="465">
        <v>0.91749999999999998</v>
      </c>
      <c r="C51" s="465">
        <v>1.0004999999999999</v>
      </c>
      <c r="D51" s="465"/>
      <c r="E51" s="975" t="s">
        <v>123</v>
      </c>
      <c r="F51" s="981">
        <v>2065</v>
      </c>
      <c r="G51" s="985">
        <v>2180</v>
      </c>
      <c r="H51" s="974">
        <f t="shared" si="0"/>
        <v>115</v>
      </c>
      <c r="I51" s="474">
        <f t="shared" si="1"/>
        <v>5.569007263922518E-2</v>
      </c>
      <c r="J51" s="483">
        <f t="shared" si="2"/>
        <v>1635</v>
      </c>
      <c r="M51" s="235" t="s">
        <v>123</v>
      </c>
      <c r="N51" s="236" t="s">
        <v>17</v>
      </c>
      <c r="O51" s="237" t="str">
        <f t="shared" si="3"/>
        <v>.9175"  to  1.0005"</v>
      </c>
      <c r="P51" s="236">
        <v>84</v>
      </c>
      <c r="Q51" s="238">
        <v>41</v>
      </c>
      <c r="R51" s="239">
        <f t="shared" si="4"/>
        <v>2180</v>
      </c>
    </row>
    <row r="52" spans="1:18" x14ac:dyDescent="0.25">
      <c r="B52" s="4"/>
      <c r="C52" s="4"/>
      <c r="D52" s="4"/>
      <c r="F52" s="722"/>
      <c r="G52" s="722"/>
      <c r="H52" s="722"/>
      <c r="M52" s="35"/>
      <c r="N52" s="35"/>
      <c r="O52" s="35"/>
      <c r="P52" s="35"/>
      <c r="Q52" s="35"/>
      <c r="R52" s="35"/>
    </row>
    <row r="53" spans="1:18" x14ac:dyDescent="0.25">
      <c r="A53" s="50"/>
      <c r="B53" s="4"/>
      <c r="C53" s="4"/>
      <c r="D53" s="4"/>
    </row>
    <row r="54" spans="1:18" x14ac:dyDescent="0.25">
      <c r="B54" s="4"/>
      <c r="C54" s="4"/>
      <c r="D54" s="4"/>
    </row>
    <row r="55" spans="1:18" x14ac:dyDescent="0.25">
      <c r="B55" s="4"/>
      <c r="C55" s="4"/>
      <c r="D55" s="4"/>
    </row>
    <row r="56" spans="1:18" x14ac:dyDescent="0.25">
      <c r="B56" s="4"/>
      <c r="C56" s="4"/>
      <c r="D56" s="4"/>
    </row>
    <row r="57" spans="1:18" x14ac:dyDescent="0.25">
      <c r="B57" s="4"/>
      <c r="C57" s="4"/>
      <c r="D57" s="4"/>
    </row>
    <row r="58" spans="1:18" x14ac:dyDescent="0.25">
      <c r="B58" s="4"/>
      <c r="C58" s="4"/>
      <c r="D58" s="4"/>
    </row>
    <row r="59" spans="1:18" x14ac:dyDescent="0.25">
      <c r="B59" s="4"/>
      <c r="C59" s="4"/>
      <c r="D59" s="4"/>
    </row>
  </sheetData>
  <sheetProtection algorithmName="SHA-512" hashValue="Ntsfa1vt4AGOH6vkkV3sJokWPK/Eau0+g9JQOf8g18Z3ze/JW2pltcysMyZWyF24+IdSpuJ5pY1/StHa3kJCmw==" saltValue="HYx6innqlk5VDJ5NNLP/NQ==" spinCount="100000" sheet="1" objects="1" scenarios="1"/>
  <conditionalFormatting sqref="M10:M12">
    <cfRule type="expression" dxfId="31" priority="3">
      <formula>#REF!="y"</formula>
    </cfRule>
  </conditionalFormatting>
  <conditionalFormatting sqref="Y4:Y5">
    <cfRule type="expression" dxfId="30" priority="2">
      <formula>$Y4="y"</formula>
    </cfRule>
  </conditionalFormatting>
  <conditionalFormatting sqref="Z4:Z5">
    <cfRule type="expression" dxfId="29" priority="1">
      <formula>#REF!="y"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FC0BB-69CC-4AD6-B493-D43B5E00D94F}">
  <sheetPr codeName="Sheet12">
    <outlinePr summaryBelow="0"/>
    <pageSetUpPr autoPageBreaks="0"/>
  </sheetPr>
  <dimension ref="A1:Q55"/>
  <sheetViews>
    <sheetView showGridLines="0" zoomScale="90" zoomScaleNormal="90" workbookViewId="0">
      <selection activeCell="AA39" sqref="AA39"/>
    </sheetView>
  </sheetViews>
  <sheetFormatPr defaultRowHeight="15" outlineLevelRow="1" outlineLevelCol="1" x14ac:dyDescent="0.25"/>
  <cols>
    <col min="1" max="1" width="1.7109375" customWidth="1"/>
    <col min="2" max="3" width="10.85546875" style="11" hidden="1" customWidth="1" outlineLevel="1"/>
    <col min="4" max="4" width="2.7109375" hidden="1" customWidth="1" outlineLevel="1"/>
    <col min="5" max="9" width="11.42578125" hidden="1" customWidth="1" outlineLevel="1"/>
    <col min="10" max="10" width="3.7109375" hidden="1" customWidth="1" outlineLevel="1"/>
    <col min="11" max="11" width="15.7109375" customWidth="1" collapsed="1"/>
    <col min="12" max="12" width="16.42578125" customWidth="1"/>
    <col min="13" max="13" width="22" customWidth="1"/>
    <col min="14" max="14" width="16.28515625" customWidth="1"/>
    <col min="15" max="15" width="17" customWidth="1"/>
    <col min="16" max="16" width="16.85546875" customWidth="1"/>
    <col min="17" max="17" width="13.85546875" customWidth="1"/>
    <col min="18" max="18" width="20" customWidth="1"/>
    <col min="21" max="21" width="13" customWidth="1"/>
  </cols>
  <sheetData>
    <row r="1" spans="1:17" ht="8.1" customHeight="1" x14ac:dyDescent="0.25"/>
    <row r="2" spans="1:17" ht="21" collapsed="1" x14ac:dyDescent="0.35">
      <c r="K2" s="1" t="s">
        <v>184</v>
      </c>
    </row>
    <row r="3" spans="1:17" hidden="1" outlineLevel="1" x14ac:dyDescent="0.25">
      <c r="K3" s="18"/>
    </row>
    <row r="4" spans="1:17" hidden="1" outlineLevel="1" x14ac:dyDescent="0.25">
      <c r="B4" s="743" t="s">
        <v>893</v>
      </c>
      <c r="C4" s="743" t="s">
        <v>894</v>
      </c>
      <c r="K4" s="18"/>
    </row>
    <row r="5" spans="1:17" hidden="1" outlineLevel="1" x14ac:dyDescent="0.25">
      <c r="B5" s="2">
        <v>180</v>
      </c>
      <c r="C5" s="2" t="s">
        <v>184</v>
      </c>
      <c r="K5" s="18"/>
    </row>
    <row r="6" spans="1:17" hidden="1" outlineLevel="1" x14ac:dyDescent="0.25">
      <c r="B6" s="2"/>
      <c r="C6" s="2"/>
      <c r="K6" s="18"/>
    </row>
    <row r="7" spans="1:17" x14ac:dyDescent="0.25">
      <c r="K7" s="18"/>
    </row>
    <row r="8" spans="1:17" x14ac:dyDescent="0.25">
      <c r="F8" s="511" t="s">
        <v>648</v>
      </c>
      <c r="G8" s="515" t="s">
        <v>653</v>
      </c>
      <c r="K8" s="511" t="str">
        <f>_xlfn.CONCAT($F$8,"  ",G8)</f>
        <v>•  Class X (.00004" tolerance)</v>
      </c>
    </row>
    <row r="9" spans="1:17" x14ac:dyDescent="0.25">
      <c r="F9" s="511"/>
      <c r="G9" s="515" t="s">
        <v>641</v>
      </c>
      <c r="K9" s="511" t="str">
        <f>_xlfn.CONCAT($F$8,"  ",G9)</f>
        <v>•  Go (Plus) or NoGo (Minus)</v>
      </c>
    </row>
    <row r="10" spans="1:17" x14ac:dyDescent="0.25">
      <c r="G10" s="515" t="s">
        <v>654</v>
      </c>
      <c r="K10" s="511" t="str">
        <f>_xlfn.CONCAT($F$8,"  ",G10)</f>
        <v>•  .001" increments</v>
      </c>
    </row>
    <row r="11" spans="1:17" ht="15.75" thickBot="1" x14ac:dyDescent="0.3">
      <c r="K11" s="3"/>
      <c r="L11" s="3"/>
    </row>
    <row r="12" spans="1:17" s="9" customFormat="1" ht="15.75" x14ac:dyDescent="0.25">
      <c r="A12"/>
      <c r="B12" s="22" t="s">
        <v>743</v>
      </c>
      <c r="C12" s="7"/>
      <c r="K12" s="767" t="str">
        <f>K2</f>
        <v>Class X Libraries</v>
      </c>
      <c r="L12" s="767"/>
      <c r="M12" s="767"/>
      <c r="N12" s="767"/>
      <c r="O12" s="767"/>
      <c r="P12" s="768"/>
      <c r="Q12"/>
    </row>
    <row r="13" spans="1:17" s="31" customFormat="1" ht="30" x14ac:dyDescent="0.25">
      <c r="A13"/>
      <c r="B13" s="33"/>
      <c r="C13" s="33"/>
      <c r="E13" s="496" t="s">
        <v>632</v>
      </c>
      <c r="F13" s="496" t="s">
        <v>633</v>
      </c>
      <c r="G13" s="489" t="s">
        <v>636</v>
      </c>
      <c r="H13" s="20"/>
      <c r="I13" s="488">
        <v>0.25</v>
      </c>
      <c r="K13" s="214" t="s">
        <v>9</v>
      </c>
      <c r="L13" s="215" t="s">
        <v>10</v>
      </c>
      <c r="M13" s="216" t="s">
        <v>3</v>
      </c>
      <c r="N13" s="215" t="s">
        <v>11</v>
      </c>
      <c r="O13" s="253" t="s">
        <v>12</v>
      </c>
      <c r="P13" s="217" t="s">
        <v>573</v>
      </c>
      <c r="Q13" s="254"/>
    </row>
    <row r="14" spans="1:17" s="9" customFormat="1" ht="15.75" x14ac:dyDescent="0.25">
      <c r="A14"/>
      <c r="B14" s="465">
        <v>1.0999999999999999E-2</v>
      </c>
      <c r="C14" s="465">
        <v>0.75</v>
      </c>
      <c r="D14" s="34"/>
      <c r="E14" s="460">
        <v>7820</v>
      </c>
      <c r="F14" s="460">
        <v>8000</v>
      </c>
      <c r="G14" s="464">
        <f>IF(F14=0,0,F14-E14)</f>
        <v>180</v>
      </c>
      <c r="H14" s="463">
        <f>G14/E14</f>
        <v>2.3017902813299233E-2</v>
      </c>
      <c r="I14" s="464">
        <f>IFERROR(((1-$I$13)*F14),0)</f>
        <v>6000</v>
      </c>
      <c r="K14" s="242" t="s">
        <v>174</v>
      </c>
      <c r="L14" s="220" t="s">
        <v>14</v>
      </c>
      <c r="M14" s="221" t="str">
        <f>_xlfn.CONCAT(TEXT($B14,"#.000#"),"""","  to  ",TEXT($C14,"#.000#"),"""")</f>
        <v>.011"  to  .750"</v>
      </c>
      <c r="N14" s="220">
        <v>740</v>
      </c>
      <c r="O14" s="255">
        <v>120</v>
      </c>
      <c r="P14" s="223">
        <f>$F14</f>
        <v>8000</v>
      </c>
      <c r="Q14"/>
    </row>
    <row r="15" spans="1:17" s="9" customFormat="1" ht="15.75" x14ac:dyDescent="0.25">
      <c r="A15"/>
      <c r="B15" s="465">
        <v>1.0999999999999999E-2</v>
      </c>
      <c r="C15" s="465">
        <v>0.75</v>
      </c>
      <c r="D15" s="34"/>
      <c r="E15" s="460">
        <v>7820</v>
      </c>
      <c r="F15" s="460">
        <v>8000</v>
      </c>
      <c r="G15" s="464">
        <f t="shared" ref="G15:G25" si="0">IF(F15=0,0,F15-E15)</f>
        <v>180</v>
      </c>
      <c r="H15" s="463">
        <f t="shared" ref="H15:H25" si="1">G15/E15</f>
        <v>2.3017902813299233E-2</v>
      </c>
      <c r="I15" s="464">
        <f t="shared" ref="I15:I25" si="2">IFERROR(((1-$I$13)*F15),0)</f>
        <v>6000</v>
      </c>
      <c r="K15" s="242" t="s">
        <v>175</v>
      </c>
      <c r="L15" s="220" t="s">
        <v>17</v>
      </c>
      <c r="M15" s="221" t="str">
        <f>_xlfn.CONCAT(TEXT($B15,"#.000#"),"""","  to  ",TEXT($C15,"#.000#"),"""")</f>
        <v>.011"  to  .750"</v>
      </c>
      <c r="N15" s="220">
        <v>740</v>
      </c>
      <c r="O15" s="255">
        <v>120</v>
      </c>
      <c r="P15" s="256">
        <f t="shared" ref="P15:P25" si="3">$F15</f>
        <v>8000</v>
      </c>
      <c r="Q15"/>
    </row>
    <row r="16" spans="1:17" s="9" customFormat="1" ht="15.75" x14ac:dyDescent="0.25">
      <c r="A16"/>
      <c r="B16" s="465">
        <v>6.0999999999999999E-2</v>
      </c>
      <c r="C16" s="465">
        <v>0.75</v>
      </c>
      <c r="D16" s="34"/>
      <c r="E16" s="460">
        <v>7250</v>
      </c>
      <c r="F16" s="460">
        <v>7500</v>
      </c>
      <c r="G16" s="464">
        <f t="shared" si="0"/>
        <v>250</v>
      </c>
      <c r="H16" s="463">
        <f t="shared" si="1"/>
        <v>3.4482758620689655E-2</v>
      </c>
      <c r="I16" s="464">
        <f t="shared" si="2"/>
        <v>5625</v>
      </c>
      <c r="K16" s="245" t="s">
        <v>172</v>
      </c>
      <c r="L16" s="257" t="s">
        <v>14</v>
      </c>
      <c r="M16" s="226" t="str">
        <f>_xlfn.CONCAT(TEXT($B16,"#.000#"),"""","  to  ",TEXT($C16,"#.000#"),"""")</f>
        <v>.061"  to  .750"</v>
      </c>
      <c r="N16" s="257">
        <v>690</v>
      </c>
      <c r="O16" s="258">
        <v>120</v>
      </c>
      <c r="P16" s="228">
        <f t="shared" si="3"/>
        <v>7500</v>
      </c>
      <c r="Q16"/>
    </row>
    <row r="17" spans="1:17" s="9" customFormat="1" ht="15.75" x14ac:dyDescent="0.25">
      <c r="A17"/>
      <c r="B17" s="465">
        <v>6.0999999999999999E-2</v>
      </c>
      <c r="C17" s="465">
        <v>0.75</v>
      </c>
      <c r="D17" s="34"/>
      <c r="E17" s="460">
        <v>7250</v>
      </c>
      <c r="F17" s="460">
        <v>7500</v>
      </c>
      <c r="G17" s="464">
        <f t="shared" si="0"/>
        <v>250</v>
      </c>
      <c r="H17" s="463">
        <f t="shared" si="1"/>
        <v>3.4482758620689655E-2</v>
      </c>
      <c r="I17" s="464">
        <f t="shared" si="2"/>
        <v>5625</v>
      </c>
      <c r="K17" s="229" t="s">
        <v>173</v>
      </c>
      <c r="L17" s="230" t="s">
        <v>17</v>
      </c>
      <c r="M17" s="231" t="str">
        <f t="shared" ref="M17:M25" si="4">_xlfn.CONCAT(TEXT($B17,"#.000#"),"""","  to  ",TEXT($C17,"#.000#"),"""")</f>
        <v>.061"  to  .750"</v>
      </c>
      <c r="N17" s="230">
        <v>690</v>
      </c>
      <c r="O17" s="259">
        <v>120</v>
      </c>
      <c r="P17" s="233">
        <f t="shared" si="3"/>
        <v>7500</v>
      </c>
      <c r="Q17"/>
    </row>
    <row r="18" spans="1:17" s="9" customFormat="1" ht="15.75" x14ac:dyDescent="0.25">
      <c r="A18"/>
      <c r="B18" s="465">
        <v>1.0999999999999999E-2</v>
      </c>
      <c r="C18" s="465">
        <v>0.50049999999999994</v>
      </c>
      <c r="D18" s="34"/>
      <c r="E18" s="460">
        <v>8150</v>
      </c>
      <c r="F18" s="460">
        <v>8250</v>
      </c>
      <c r="G18" s="464">
        <f t="shared" si="0"/>
        <v>100</v>
      </c>
      <c r="H18" s="463">
        <f t="shared" si="1"/>
        <v>1.2269938650306749E-2</v>
      </c>
      <c r="I18" s="464">
        <f t="shared" si="2"/>
        <v>6187.5</v>
      </c>
      <c r="K18" s="242" t="s">
        <v>178</v>
      </c>
      <c r="L18" s="220" t="s">
        <v>14</v>
      </c>
      <c r="M18" s="221" t="str">
        <f>_xlfn.CONCAT(TEXT($B18,"#.000#"),"""","  to  ",TEXT($C18,"#.000#"),"""*")</f>
        <v>.011"  to  .5005"*</v>
      </c>
      <c r="N18" s="220">
        <v>980</v>
      </c>
      <c r="O18" s="255">
        <v>96</v>
      </c>
      <c r="P18" s="256">
        <f t="shared" si="3"/>
        <v>8250</v>
      </c>
      <c r="Q18"/>
    </row>
    <row r="19" spans="1:17" s="9" customFormat="1" ht="15.75" x14ac:dyDescent="0.25">
      <c r="A19"/>
      <c r="B19" s="465">
        <v>1.0999999999999999E-2</v>
      </c>
      <c r="C19" s="465">
        <v>0.50049999999999994</v>
      </c>
      <c r="D19" s="34"/>
      <c r="E19" s="460">
        <v>8150</v>
      </c>
      <c r="F19" s="460">
        <v>8250</v>
      </c>
      <c r="G19" s="464">
        <f t="shared" si="0"/>
        <v>100</v>
      </c>
      <c r="H19" s="463">
        <f t="shared" si="1"/>
        <v>1.2269938650306749E-2</v>
      </c>
      <c r="I19" s="464">
        <f t="shared" si="2"/>
        <v>6187.5</v>
      </c>
      <c r="K19" s="242" t="s">
        <v>179</v>
      </c>
      <c r="L19" s="220" t="s">
        <v>17</v>
      </c>
      <c r="M19" s="221" t="str">
        <f>_xlfn.CONCAT(TEXT($B19,"#.000#"),"""","  to  ",TEXT($C19,"#.000#"),"""*")</f>
        <v>.011"  to  .5005"*</v>
      </c>
      <c r="N19" s="220">
        <v>980</v>
      </c>
      <c r="O19" s="255">
        <v>96</v>
      </c>
      <c r="P19" s="256">
        <f t="shared" si="3"/>
        <v>8250</v>
      </c>
      <c r="Q19"/>
    </row>
    <row r="20" spans="1:17" s="9" customFormat="1" ht="15.75" x14ac:dyDescent="0.25">
      <c r="A20"/>
      <c r="B20" s="465">
        <v>6.0999999999999999E-2</v>
      </c>
      <c r="C20" s="465">
        <v>0.50049999999999994</v>
      </c>
      <c r="D20" s="34"/>
      <c r="E20" s="460">
        <v>7125</v>
      </c>
      <c r="F20" s="460">
        <v>7250</v>
      </c>
      <c r="G20" s="464">
        <f t="shared" si="0"/>
        <v>125</v>
      </c>
      <c r="H20" s="463">
        <f t="shared" si="1"/>
        <v>1.7543859649122806E-2</v>
      </c>
      <c r="I20" s="464">
        <f t="shared" si="2"/>
        <v>5437.5</v>
      </c>
      <c r="K20" s="245" t="s">
        <v>176</v>
      </c>
      <c r="L20" s="257" t="s">
        <v>14</v>
      </c>
      <c r="M20" s="226" t="str">
        <f>_xlfn.CONCAT(TEXT($B20,"#.000#"),"""","  to  ",TEXT($C20,"#.000#"),"""*")</f>
        <v>.061"  to  .5005"*</v>
      </c>
      <c r="N20" s="257">
        <v>880</v>
      </c>
      <c r="O20" s="258">
        <v>95</v>
      </c>
      <c r="P20" s="228">
        <f t="shared" si="3"/>
        <v>7250</v>
      </c>
      <c r="Q20"/>
    </row>
    <row r="21" spans="1:17" s="9" customFormat="1" ht="15.75" x14ac:dyDescent="0.25">
      <c r="A21"/>
      <c r="B21" s="465">
        <v>6.0999999999999999E-2</v>
      </c>
      <c r="C21" s="465">
        <v>0.50049999999999994</v>
      </c>
      <c r="D21" s="34"/>
      <c r="E21" s="460">
        <v>7125</v>
      </c>
      <c r="F21" s="460">
        <v>7250</v>
      </c>
      <c r="G21" s="464">
        <f t="shared" si="0"/>
        <v>125</v>
      </c>
      <c r="H21" s="463">
        <f t="shared" si="1"/>
        <v>1.7543859649122806E-2</v>
      </c>
      <c r="I21" s="464">
        <f t="shared" si="2"/>
        <v>5437.5</v>
      </c>
      <c r="K21" s="229" t="s">
        <v>177</v>
      </c>
      <c r="L21" s="230" t="s">
        <v>17</v>
      </c>
      <c r="M21" s="231" t="str">
        <f>_xlfn.CONCAT(TEXT($B21,"#.000#"),"""","  to  ",TEXT($C21,"#.000#"),"""*")</f>
        <v>.061"  to  .5005"*</v>
      </c>
      <c r="N21" s="230">
        <v>880</v>
      </c>
      <c r="O21" s="259">
        <v>95</v>
      </c>
      <c r="P21" s="233">
        <f t="shared" si="3"/>
        <v>7250</v>
      </c>
      <c r="Q21"/>
    </row>
    <row r="22" spans="1:17" s="9" customFormat="1" ht="15.75" x14ac:dyDescent="0.25">
      <c r="A22"/>
      <c r="B22" s="465">
        <v>6.0999999999999999E-2</v>
      </c>
      <c r="C22" s="465">
        <v>1</v>
      </c>
      <c r="D22" s="34"/>
      <c r="E22" s="460">
        <v>12245</v>
      </c>
      <c r="F22" s="460">
        <v>12500</v>
      </c>
      <c r="G22" s="464">
        <f t="shared" si="0"/>
        <v>255</v>
      </c>
      <c r="H22" s="463">
        <f t="shared" si="1"/>
        <v>2.08248264597795E-2</v>
      </c>
      <c r="I22" s="464">
        <f t="shared" si="2"/>
        <v>9375</v>
      </c>
      <c r="K22" s="242" t="s">
        <v>180</v>
      </c>
      <c r="L22" s="220" t="s">
        <v>14</v>
      </c>
      <c r="M22" s="221" t="str">
        <f t="shared" si="4"/>
        <v>.061"  to  1.000"</v>
      </c>
      <c r="N22" s="220">
        <v>940</v>
      </c>
      <c r="O22" s="255">
        <v>240</v>
      </c>
      <c r="P22" s="256">
        <f t="shared" si="3"/>
        <v>12500</v>
      </c>
      <c r="Q22"/>
    </row>
    <row r="23" spans="1:17" s="9" customFormat="1" ht="15.75" x14ac:dyDescent="0.25">
      <c r="A23"/>
      <c r="B23" s="465">
        <v>6.0999999999999999E-2</v>
      </c>
      <c r="C23" s="465">
        <v>1</v>
      </c>
      <c r="D23" s="34"/>
      <c r="E23" s="460">
        <v>12245</v>
      </c>
      <c r="F23" s="460">
        <v>12500</v>
      </c>
      <c r="G23" s="464">
        <f t="shared" si="0"/>
        <v>255</v>
      </c>
      <c r="H23" s="463">
        <f t="shared" si="1"/>
        <v>2.08248264597795E-2</v>
      </c>
      <c r="I23" s="464">
        <f t="shared" si="2"/>
        <v>9375</v>
      </c>
      <c r="K23" s="242" t="s">
        <v>181</v>
      </c>
      <c r="L23" s="220" t="s">
        <v>17</v>
      </c>
      <c r="M23" s="221" t="str">
        <f t="shared" si="4"/>
        <v>.061"  to  1.000"</v>
      </c>
      <c r="N23" s="220">
        <v>940</v>
      </c>
      <c r="O23" s="255">
        <v>240</v>
      </c>
      <c r="P23" s="256">
        <f t="shared" si="3"/>
        <v>12500</v>
      </c>
      <c r="Q23"/>
    </row>
    <row r="24" spans="1:17" s="9" customFormat="1" ht="15.75" x14ac:dyDescent="0.25">
      <c r="A24"/>
      <c r="B24" s="465">
        <v>1.0999999999999999E-2</v>
      </c>
      <c r="C24" s="465">
        <v>1</v>
      </c>
      <c r="D24" s="34"/>
      <c r="E24" s="460">
        <v>12730</v>
      </c>
      <c r="F24" s="460">
        <v>12750</v>
      </c>
      <c r="G24" s="464">
        <f t="shared" si="0"/>
        <v>20</v>
      </c>
      <c r="H24" s="463">
        <f t="shared" si="1"/>
        <v>1.5710919088766694E-3</v>
      </c>
      <c r="I24" s="464">
        <f t="shared" si="2"/>
        <v>9562.5</v>
      </c>
      <c r="K24" s="245" t="s">
        <v>182</v>
      </c>
      <c r="L24" s="257" t="s">
        <v>14</v>
      </c>
      <c r="M24" s="226" t="str">
        <f t="shared" si="4"/>
        <v>.011"  to  1.000"</v>
      </c>
      <c r="N24" s="257">
        <v>990</v>
      </c>
      <c r="O24" s="258">
        <v>240</v>
      </c>
      <c r="P24" s="228">
        <f t="shared" si="3"/>
        <v>12750</v>
      </c>
      <c r="Q24"/>
    </row>
    <row r="25" spans="1:17" s="9" customFormat="1" ht="16.5" thickBot="1" x14ac:dyDescent="0.3">
      <c r="A25"/>
      <c r="B25" s="465">
        <v>1.0999999999999999E-2</v>
      </c>
      <c r="C25" s="465">
        <v>1</v>
      </c>
      <c r="D25" s="34"/>
      <c r="E25" s="460">
        <v>12730</v>
      </c>
      <c r="F25" s="460">
        <v>12750</v>
      </c>
      <c r="G25" s="464">
        <f t="shared" si="0"/>
        <v>20</v>
      </c>
      <c r="H25" s="463">
        <f t="shared" si="1"/>
        <v>1.5710919088766694E-3</v>
      </c>
      <c r="I25" s="464">
        <f t="shared" si="2"/>
        <v>9562.5</v>
      </c>
      <c r="K25" s="235" t="s">
        <v>183</v>
      </c>
      <c r="L25" s="236" t="s">
        <v>17</v>
      </c>
      <c r="M25" s="237" t="str">
        <f t="shared" si="4"/>
        <v>.011"  to  1.000"</v>
      </c>
      <c r="N25" s="236">
        <v>990</v>
      </c>
      <c r="O25" s="260">
        <v>240</v>
      </c>
      <c r="P25" s="239">
        <f t="shared" si="3"/>
        <v>12750</v>
      </c>
      <c r="Q25"/>
    </row>
    <row r="26" spans="1:17" s="9" customFormat="1" ht="5.0999999999999996" customHeight="1" x14ac:dyDescent="0.25">
      <c r="A26"/>
      <c r="B26" s="8"/>
      <c r="C26" s="8"/>
      <c r="K26" s="250"/>
      <c r="L26" s="3"/>
      <c r="M26" s="11"/>
      <c r="N26"/>
      <c r="O26"/>
      <c r="P26"/>
      <c r="Q26"/>
    </row>
    <row r="27" spans="1:17" s="9" customFormat="1" ht="15.75" x14ac:dyDescent="0.25">
      <c r="A27"/>
      <c r="B27" s="8"/>
      <c r="C27" s="8"/>
      <c r="K27" s="250" t="s">
        <v>577</v>
      </c>
      <c r="L27" s="3"/>
      <c r="M27" s="11"/>
      <c r="N27"/>
      <c r="O27"/>
      <c r="P27"/>
      <c r="Q27"/>
    </row>
    <row r="28" spans="1:17" s="9" customFormat="1" ht="9.9499999999999993" customHeight="1" x14ac:dyDescent="0.25">
      <c r="A28"/>
      <c r="B28" s="7"/>
      <c r="C28" s="7"/>
      <c r="K28" s="3"/>
      <c r="L28" s="3"/>
      <c r="M28" s="11"/>
      <c r="N28"/>
      <c r="O28"/>
      <c r="P28"/>
      <c r="Q28"/>
    </row>
    <row r="29" spans="1:17" x14ac:dyDescent="0.25">
      <c r="K29" s="250" t="s">
        <v>669</v>
      </c>
    </row>
    <row r="30" spans="1:17" x14ac:dyDescent="0.25">
      <c r="B30"/>
      <c r="C30"/>
    </row>
    <row r="31" spans="1:17" x14ac:dyDescent="0.25">
      <c r="B31"/>
      <c r="C31"/>
    </row>
    <row r="32" spans="1:17" x14ac:dyDescent="0.25">
      <c r="B32"/>
      <c r="C32"/>
    </row>
    <row r="33" spans="2:3" x14ac:dyDescent="0.25">
      <c r="B33"/>
      <c r="C33"/>
    </row>
    <row r="34" spans="2:3" x14ac:dyDescent="0.25">
      <c r="B34"/>
      <c r="C34"/>
    </row>
    <row r="35" spans="2:3" x14ac:dyDescent="0.25">
      <c r="B35"/>
      <c r="C35"/>
    </row>
    <row r="36" spans="2:3" x14ac:dyDescent="0.25">
      <c r="B36"/>
      <c r="C36"/>
    </row>
    <row r="37" spans="2:3" x14ac:dyDescent="0.25">
      <c r="B37"/>
      <c r="C37"/>
    </row>
    <row r="38" spans="2:3" x14ac:dyDescent="0.25">
      <c r="B38"/>
      <c r="C38"/>
    </row>
    <row r="39" spans="2:3" x14ac:dyDescent="0.25">
      <c r="B39"/>
      <c r="C39"/>
    </row>
    <row r="40" spans="2:3" x14ac:dyDescent="0.25">
      <c r="B40"/>
      <c r="C40"/>
    </row>
    <row r="41" spans="2:3" x14ac:dyDescent="0.25">
      <c r="B41"/>
      <c r="C41"/>
    </row>
    <row r="42" spans="2:3" x14ac:dyDescent="0.25">
      <c r="B42"/>
      <c r="C42"/>
    </row>
    <row r="55" spans="1:1" x14ac:dyDescent="0.25">
      <c r="A55" s="50"/>
    </row>
  </sheetData>
  <sheetProtection algorithmName="SHA-512" hashValue="I7eBc921mW4klp6YobBeQRbylu/Txn+bZ+ukZYFNvQeaPl6iJJ6oL+MDkEPQNpqCoj5ZInAUDOEXCAo1JAWHKg==" saltValue="6gbT9ULoeWBIU2/7OofVEw==" spinCount="100000" sheet="1" objects="1" scenarios="1"/>
  <conditionalFormatting sqref="K8:K10">
    <cfRule type="expression" dxfId="28" priority="1">
      <formula>#REF!="y"</formula>
    </cfRule>
  </conditionalFormatting>
  <conditionalFormatting sqref="K11 K26 K28">
    <cfRule type="expression" dxfId="27" priority="9">
      <formula>$K11="y"</formula>
    </cfRule>
  </conditionalFormatting>
  <conditionalFormatting sqref="K12:K13">
    <cfRule type="expression" dxfId="26" priority="2">
      <formula>$M12="y"</formula>
    </cfRule>
  </conditionalFormatting>
  <conditionalFormatting sqref="K14:K25">
    <cfRule type="expression" dxfId="25" priority="6">
      <formula>#REF!="y"</formula>
    </cfRule>
  </conditionalFormatting>
  <conditionalFormatting sqref="K27">
    <cfRule type="expression" dxfId="24" priority="5">
      <formula>$M27="y"</formula>
    </cfRule>
  </conditionalFormatting>
  <conditionalFormatting sqref="K29">
    <cfRule type="expression" dxfId="23" priority="3">
      <formula>$M29="y"</formula>
    </cfRule>
  </conditionalFormatting>
  <conditionalFormatting sqref="L11 L26:L28">
    <cfRule type="expression" dxfId="22" priority="8">
      <formula>#REF!="y"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D91E6-2990-4FAB-8732-6D6736E72780}">
  <sheetPr codeName="Sheet7">
    <pageSetUpPr autoPageBreaks="0"/>
  </sheetPr>
  <dimension ref="A1:AC53"/>
  <sheetViews>
    <sheetView showGridLines="0" zoomScaleNormal="100" workbookViewId="0">
      <selection activeCell="S76" sqref="S76"/>
    </sheetView>
  </sheetViews>
  <sheetFormatPr defaultRowHeight="15" outlineLevelCol="1" x14ac:dyDescent="0.25"/>
  <cols>
    <col min="1" max="2" width="1.7109375" customWidth="1"/>
    <col min="3" max="7" width="8.85546875" hidden="1" customWidth="1" outlineLevel="1"/>
    <col min="8" max="8" width="1.7109375" hidden="1" customWidth="1" outlineLevel="1"/>
    <col min="9" max="9" width="8.85546875" hidden="1" customWidth="1" outlineLevel="1"/>
    <col min="10" max="10" width="1.7109375" hidden="1" customWidth="1" outlineLevel="1"/>
    <col min="11" max="14" width="9.42578125" hidden="1" customWidth="1" outlineLevel="1"/>
    <col min="15" max="16" width="10.140625" hidden="1" customWidth="1" outlineLevel="1"/>
    <col min="17" max="17" width="9.42578125" hidden="1" customWidth="1" outlineLevel="1"/>
    <col min="18" max="18" width="3.140625" hidden="1" customWidth="1" outlineLevel="1"/>
    <col min="19" max="19" width="16.85546875" customWidth="1" collapsed="1"/>
    <col min="20" max="20" width="21.85546875" customWidth="1"/>
    <col min="21" max="21" width="22.85546875" customWidth="1"/>
    <col min="22" max="22" width="18.5703125" customWidth="1"/>
    <col min="23" max="23" width="14.140625" customWidth="1"/>
    <col min="24" max="29" width="15.140625" customWidth="1"/>
  </cols>
  <sheetData>
    <row r="1" spans="3:29" ht="6" customHeight="1" x14ac:dyDescent="0.25"/>
    <row r="2" spans="3:29" ht="21" x14ac:dyDescent="0.35">
      <c r="C2" s="1040" t="s">
        <v>744</v>
      </c>
      <c r="D2" s="1040"/>
      <c r="E2" s="1041"/>
      <c r="F2" s="1041"/>
      <c r="S2" s="1" t="s">
        <v>756</v>
      </c>
    </row>
    <row r="3" spans="3:29" ht="15.75" x14ac:dyDescent="0.25">
      <c r="S3" s="9" t="s">
        <v>491</v>
      </c>
    </row>
    <row r="4" spans="3:29" ht="15.75" x14ac:dyDescent="0.25">
      <c r="C4" s="743" t="s">
        <v>893</v>
      </c>
      <c r="D4" s="743" t="s">
        <v>894</v>
      </c>
      <c r="S4" s="9"/>
    </row>
    <row r="5" spans="3:29" x14ac:dyDescent="0.25">
      <c r="C5" s="2">
        <v>210</v>
      </c>
      <c r="D5" s="2" t="s">
        <v>838</v>
      </c>
      <c r="S5" s="1060" t="s">
        <v>895</v>
      </c>
      <c r="T5" s="1060"/>
      <c r="U5" s="1060"/>
      <c r="V5" s="1060"/>
      <c r="W5" s="1060"/>
    </row>
    <row r="6" spans="3:29" x14ac:dyDescent="0.25">
      <c r="S6" s="1060"/>
      <c r="T6" s="1060"/>
      <c r="U6" s="1060"/>
      <c r="V6" s="1060"/>
      <c r="W6" s="1060"/>
    </row>
    <row r="7" spans="3:29" x14ac:dyDescent="0.25">
      <c r="S7" s="544"/>
      <c r="T7" s="544"/>
      <c r="U7" s="544"/>
      <c r="V7" s="544"/>
    </row>
    <row r="8" spans="3:29" x14ac:dyDescent="0.25">
      <c r="F8" s="745">
        <v>25.4</v>
      </c>
      <c r="K8" s="545" t="s">
        <v>648</v>
      </c>
      <c r="L8" s="515" t="s">
        <v>652</v>
      </c>
      <c r="S8" s="545" t="str">
        <f>_xlfn.CONCAT($K$8,"  ",L8)</f>
        <v>•  Class X (.00004" or .001mm tolerance)</v>
      </c>
    </row>
    <row r="9" spans="3:29" x14ac:dyDescent="0.25">
      <c r="L9" s="515" t="s">
        <v>641</v>
      </c>
      <c r="S9" s="545" t="str">
        <f>_xlfn.CONCAT($K$8,"  ",L9)</f>
        <v>•  Go (Plus) or NoGo (Minus)</v>
      </c>
    </row>
    <row r="10" spans="3:29" x14ac:dyDescent="0.25">
      <c r="L10" s="13" t="s">
        <v>655</v>
      </c>
      <c r="S10" s="545" t="str">
        <f>_xlfn.CONCAT($K$8,"  ",L10)</f>
        <v>•  .0001" or .01mm increments</v>
      </c>
    </row>
    <row r="11" spans="3:29" ht="16.5" thickBot="1" x14ac:dyDescent="0.3">
      <c r="S11" s="35"/>
      <c r="W11" s="9"/>
    </row>
    <row r="12" spans="3:29" ht="16.5" thickBot="1" x14ac:dyDescent="0.3">
      <c r="C12" s="22" t="s">
        <v>1</v>
      </c>
      <c r="D12" s="3"/>
      <c r="F12" s="22" t="s">
        <v>2</v>
      </c>
      <c r="P12" s="620" t="s">
        <v>742</v>
      </c>
      <c r="S12" s="767" t="s">
        <v>755</v>
      </c>
      <c r="T12" s="767"/>
      <c r="U12" s="767"/>
      <c r="V12" s="768"/>
      <c r="W12" s="9"/>
    </row>
    <row r="13" spans="3:29" ht="18" x14ac:dyDescent="0.4">
      <c r="C13" s="59" t="s">
        <v>572</v>
      </c>
      <c r="D13" s="60">
        <v>1E-4</v>
      </c>
      <c r="E13" s="61"/>
      <c r="F13" s="59" t="s">
        <v>572</v>
      </c>
      <c r="G13" s="74">
        <v>0.01</v>
      </c>
      <c r="H13" s="5"/>
      <c r="S13" s="1061" t="s">
        <v>9</v>
      </c>
      <c r="T13" s="363" t="s">
        <v>124</v>
      </c>
      <c r="U13" s="364"/>
      <c r="V13" s="1063" t="s">
        <v>573</v>
      </c>
      <c r="W13" s="9"/>
    </row>
    <row r="14" spans="3:29" ht="15.75" x14ac:dyDescent="0.25">
      <c r="C14" s="21" t="s">
        <v>6</v>
      </c>
      <c r="D14" s="20"/>
      <c r="F14" s="21" t="s">
        <v>7</v>
      </c>
      <c r="G14" s="20"/>
      <c r="H14" s="5"/>
      <c r="K14" s="311" t="s">
        <v>632</v>
      </c>
      <c r="L14" s="344" t="s">
        <v>633</v>
      </c>
      <c r="M14" s="630" t="s">
        <v>636</v>
      </c>
      <c r="N14" s="539"/>
      <c r="O14" s="479">
        <v>0.2</v>
      </c>
      <c r="P14" s="479">
        <v>0.25</v>
      </c>
      <c r="Q14" s="488"/>
      <c r="S14" s="1062"/>
      <c r="T14" s="357" t="s">
        <v>4</v>
      </c>
      <c r="U14" s="359" t="s">
        <v>5</v>
      </c>
      <c r="V14" s="1064"/>
      <c r="W14" s="9"/>
    </row>
    <row r="15" spans="3:29" ht="15.75" x14ac:dyDescent="0.25">
      <c r="C15" s="624">
        <v>1.5599999999999999E-2</v>
      </c>
      <c r="D15" s="622">
        <v>0.125</v>
      </c>
      <c r="F15" s="621">
        <v>0.39600000000000002</v>
      </c>
      <c r="G15" s="365">
        <f>ROUND(D15*$F$8,2)</f>
        <v>3.18</v>
      </c>
      <c r="H15" s="6"/>
      <c r="I15" s="19">
        <v>1</v>
      </c>
      <c r="J15" s="19"/>
      <c r="K15" s="492">
        <v>0</v>
      </c>
      <c r="L15" s="460">
        <v>500</v>
      </c>
      <c r="M15" s="481">
        <f t="shared" ref="M15:M20" si="0">IF(L15=0,0,L15-K15)</f>
        <v>500</v>
      </c>
      <c r="N15" s="669">
        <f>IFERROR(((L15-K15)/K15),0)</f>
        <v>0</v>
      </c>
      <c r="O15" s="480">
        <f>(1-O$14)*$L15</f>
        <v>400</v>
      </c>
      <c r="P15" s="464">
        <f>(1-P$14)*$L15</f>
        <v>375</v>
      </c>
      <c r="S15" s="198" t="str">
        <f t="shared" ref="S15:S20" si="1">"MG"&amp;I15&amp;"-25"</f>
        <v>MG1-25</v>
      </c>
      <c r="T15" s="221" t="str">
        <f t="shared" ref="T15:T20" si="2">_xlfn.CONCAT(TEXT($C15,"#.0000"),""""," to ",TEXT($D15,"#.0000"),"""")</f>
        <v>.0156" to .1250"</v>
      </c>
      <c r="U15" s="221" t="str">
        <f t="shared" ref="U15:U20" si="3">_xlfn.CONCAT(TEXT($F15,"#.00"),"mm"," to ",TEXT($G15,"#.00"),"mm")</f>
        <v>.40mm to 3.18mm</v>
      </c>
      <c r="V15" s="379">
        <f t="shared" ref="V15:V20" si="4">$L15</f>
        <v>500</v>
      </c>
      <c r="W15" s="113"/>
      <c r="X15" s="37"/>
    </row>
    <row r="16" spans="3:29" ht="15.75" x14ac:dyDescent="0.25">
      <c r="C16" s="623">
        <f>D15+$D$13</f>
        <v>0.12509999999999999</v>
      </c>
      <c r="D16" s="622">
        <v>0.25</v>
      </c>
      <c r="F16" s="365">
        <f>G15+$G$13</f>
        <v>3.19</v>
      </c>
      <c r="G16" s="365">
        <f>D16*$F$8</f>
        <v>6.35</v>
      </c>
      <c r="H16" s="6"/>
      <c r="I16" s="19">
        <v>2</v>
      </c>
      <c r="J16" s="19"/>
      <c r="K16" s="492">
        <v>0</v>
      </c>
      <c r="L16" s="460">
        <v>400</v>
      </c>
      <c r="M16" s="481">
        <f t="shared" si="0"/>
        <v>400</v>
      </c>
      <c r="N16" s="669">
        <f t="shared" ref="N16:N20" si="5">IFERROR(((L16-K16)/K16),0)</f>
        <v>0</v>
      </c>
      <c r="O16" s="481">
        <f t="shared" ref="O16:P20" si="6">(1-O$14)*$L16</f>
        <v>320</v>
      </c>
      <c r="P16" s="464">
        <f t="shared" si="6"/>
        <v>300</v>
      </c>
      <c r="S16" s="360" t="str">
        <f t="shared" si="1"/>
        <v>MG2-25</v>
      </c>
      <c r="T16" s="358" t="str">
        <f t="shared" si="2"/>
        <v>.1251" to .2500"</v>
      </c>
      <c r="U16" s="358" t="str">
        <f t="shared" si="3"/>
        <v>3.19mm to 6.35mm</v>
      </c>
      <c r="V16" s="626">
        <f t="shared" si="4"/>
        <v>400</v>
      </c>
      <c r="W16" s="113"/>
      <c r="X16" s="37"/>
      <c r="AC16" s="37"/>
    </row>
    <row r="17" spans="3:29" ht="15.75" x14ac:dyDescent="0.25">
      <c r="C17" s="623">
        <f>D16+$D$13</f>
        <v>0.25009999999999999</v>
      </c>
      <c r="D17" s="622">
        <v>0.375</v>
      </c>
      <c r="F17" s="365">
        <f>G16+$G$13</f>
        <v>6.3599999999999994</v>
      </c>
      <c r="G17" s="365">
        <f>D17*$F$8</f>
        <v>9.5249999999999986</v>
      </c>
      <c r="H17" s="6"/>
      <c r="I17" s="19">
        <v>3</v>
      </c>
      <c r="J17" s="19"/>
      <c r="K17" s="492">
        <v>0</v>
      </c>
      <c r="L17" s="460">
        <v>320</v>
      </c>
      <c r="M17" s="481">
        <f t="shared" si="0"/>
        <v>320</v>
      </c>
      <c r="N17" s="669">
        <f t="shared" si="5"/>
        <v>0</v>
      </c>
      <c r="O17" s="481">
        <f t="shared" si="6"/>
        <v>256</v>
      </c>
      <c r="P17" s="464">
        <f t="shared" si="6"/>
        <v>240</v>
      </c>
      <c r="S17" s="198" t="str">
        <f t="shared" si="1"/>
        <v>MG3-25</v>
      </c>
      <c r="T17" s="221" t="str">
        <f t="shared" si="2"/>
        <v>.2501" to .3750"</v>
      </c>
      <c r="U17" s="221" t="str">
        <f t="shared" si="3"/>
        <v>6.36mm to 9.53mm</v>
      </c>
      <c r="V17" s="379">
        <f t="shared" si="4"/>
        <v>320</v>
      </c>
      <c r="W17" s="113"/>
      <c r="X17" s="37"/>
      <c r="AC17" s="37"/>
    </row>
    <row r="18" spans="3:29" ht="15.75" x14ac:dyDescent="0.25">
      <c r="C18" s="623">
        <f>D17+$D$13</f>
        <v>0.37509999999999999</v>
      </c>
      <c r="D18" s="622">
        <v>0.5</v>
      </c>
      <c r="F18" s="365">
        <f>G17+$G$13</f>
        <v>9.5349999999999984</v>
      </c>
      <c r="G18" s="365">
        <f>D18*$F$8</f>
        <v>12.7</v>
      </c>
      <c r="H18" s="6"/>
      <c r="I18" s="19">
        <v>4</v>
      </c>
      <c r="J18" s="19"/>
      <c r="K18" s="492">
        <v>0</v>
      </c>
      <c r="L18" s="460">
        <v>380</v>
      </c>
      <c r="M18" s="481">
        <f t="shared" si="0"/>
        <v>380</v>
      </c>
      <c r="N18" s="669">
        <f t="shared" si="5"/>
        <v>0</v>
      </c>
      <c r="O18" s="481">
        <f t="shared" si="6"/>
        <v>304</v>
      </c>
      <c r="P18" s="464">
        <f t="shared" si="6"/>
        <v>285</v>
      </c>
      <c r="S18" s="360" t="str">
        <f t="shared" si="1"/>
        <v>MG4-25</v>
      </c>
      <c r="T18" s="358" t="str">
        <f t="shared" si="2"/>
        <v>.3751" to .5000"</v>
      </c>
      <c r="U18" s="358" t="str">
        <f t="shared" si="3"/>
        <v>9.54mm to 12.70mm</v>
      </c>
      <c r="V18" s="626">
        <f t="shared" si="4"/>
        <v>380</v>
      </c>
      <c r="W18" s="113"/>
      <c r="X18" s="37"/>
      <c r="AC18" s="37"/>
    </row>
    <row r="19" spans="3:29" ht="15.75" x14ac:dyDescent="0.25">
      <c r="C19" s="623">
        <f>D18+$D$13</f>
        <v>0.50009999999999999</v>
      </c>
      <c r="D19" s="622">
        <v>0.625</v>
      </c>
      <c r="F19" s="365">
        <f>G18+$G$13</f>
        <v>12.709999999999999</v>
      </c>
      <c r="G19" s="365">
        <f>D19*$F$8</f>
        <v>15.875</v>
      </c>
      <c r="H19" s="6"/>
      <c r="I19" s="19">
        <v>5</v>
      </c>
      <c r="J19" s="19"/>
      <c r="K19" s="492">
        <v>0</v>
      </c>
      <c r="L19" s="460">
        <v>460</v>
      </c>
      <c r="M19" s="481">
        <f t="shared" si="0"/>
        <v>460</v>
      </c>
      <c r="N19" s="669">
        <f t="shared" si="5"/>
        <v>0</v>
      </c>
      <c r="O19" s="481">
        <f t="shared" si="6"/>
        <v>368</v>
      </c>
      <c r="P19" s="464">
        <f t="shared" si="6"/>
        <v>345</v>
      </c>
      <c r="S19" s="198" t="str">
        <f t="shared" si="1"/>
        <v>MG5-25</v>
      </c>
      <c r="T19" s="221" t="str">
        <f t="shared" si="2"/>
        <v>.5001" to .6250"</v>
      </c>
      <c r="U19" s="221" t="str">
        <f t="shared" si="3"/>
        <v>12.71mm to 15.88mm</v>
      </c>
      <c r="V19" s="379">
        <f t="shared" si="4"/>
        <v>460</v>
      </c>
      <c r="W19" s="113"/>
      <c r="X19" s="37"/>
      <c r="Y19" s="37"/>
      <c r="AC19" s="37"/>
    </row>
    <row r="20" spans="3:29" ht="16.5" thickBot="1" x14ac:dyDescent="0.3">
      <c r="C20" s="623">
        <f>D19+$D$13</f>
        <v>0.62509999999999999</v>
      </c>
      <c r="D20" s="622">
        <v>0.875</v>
      </c>
      <c r="F20" s="365">
        <f>G19+$G$13</f>
        <v>15.885</v>
      </c>
      <c r="G20" s="365">
        <f>D20*$F$8</f>
        <v>22.224999999999998</v>
      </c>
      <c r="I20" s="19">
        <v>6</v>
      </c>
      <c r="J20" s="19"/>
      <c r="K20" s="492">
        <v>0</v>
      </c>
      <c r="L20" s="460">
        <v>520</v>
      </c>
      <c r="M20" s="481">
        <f t="shared" si="0"/>
        <v>520</v>
      </c>
      <c r="N20" s="669">
        <f t="shared" si="5"/>
        <v>0</v>
      </c>
      <c r="O20" s="481">
        <f t="shared" si="6"/>
        <v>416</v>
      </c>
      <c r="P20" s="464">
        <f t="shared" si="6"/>
        <v>390</v>
      </c>
      <c r="S20" s="361" t="str">
        <f t="shared" si="1"/>
        <v>MG6-25</v>
      </c>
      <c r="T20" s="362" t="str">
        <f t="shared" si="2"/>
        <v>.6251" to .8750"</v>
      </c>
      <c r="U20" s="362" t="str">
        <f t="shared" si="3"/>
        <v>15.89mm to 22.23mm</v>
      </c>
      <c r="V20" s="627">
        <f t="shared" si="4"/>
        <v>520</v>
      </c>
      <c r="W20" s="113"/>
      <c r="X20" s="37"/>
      <c r="Y20" s="37"/>
      <c r="AC20" s="37"/>
    </row>
    <row r="21" spans="3:29" ht="8.25" customHeight="1" x14ac:dyDescent="0.25">
      <c r="L21" t="s">
        <v>754</v>
      </c>
      <c r="P21" s="986"/>
      <c r="W21" s="9"/>
      <c r="X21" s="37"/>
    </row>
    <row r="22" spans="3:29" ht="15.6" customHeight="1" x14ac:dyDescent="0.25">
      <c r="C22" s="4">
        <v>1E-4</v>
      </c>
      <c r="P22" s="986"/>
      <c r="S22" t="s">
        <v>745</v>
      </c>
      <c r="W22" s="9"/>
      <c r="Y22" s="37"/>
      <c r="AC22" s="37"/>
    </row>
    <row r="23" spans="3:29" ht="15.75" x14ac:dyDescent="0.25">
      <c r="W23" s="9"/>
      <c r="Y23" s="37"/>
      <c r="AC23" s="37"/>
    </row>
    <row r="24" spans="3:29" ht="15.75" x14ac:dyDescent="0.25">
      <c r="C24" s="624">
        <v>1.0999999999999999E-2</v>
      </c>
      <c r="D24" s="625" t="s">
        <v>17</v>
      </c>
      <c r="E24" s="625" t="s">
        <v>14</v>
      </c>
      <c r="W24" s="9"/>
      <c r="Y24" s="37"/>
      <c r="AC24" s="37"/>
    </row>
    <row r="25" spans="3:29" ht="15.75" x14ac:dyDescent="0.25">
      <c r="C25" s="11">
        <v>1</v>
      </c>
      <c r="D25" s="623">
        <f>$C$24-(PRODUCT($C25,$D$13))</f>
        <v>1.09E-2</v>
      </c>
      <c r="E25" s="623">
        <f>$C$24+(PRODUCT($C25,$D$13))</f>
        <v>1.1099999999999999E-2</v>
      </c>
      <c r="W25" s="9"/>
      <c r="Y25" s="37"/>
      <c r="AC25" s="37"/>
    </row>
    <row r="26" spans="3:29" ht="15.75" x14ac:dyDescent="0.25">
      <c r="C26" s="11">
        <v>2</v>
      </c>
      <c r="D26" s="623">
        <f t="shared" ref="D26:D36" si="7">$C$24-(PRODUCT($C26,$D$13))</f>
        <v>1.0799999999999999E-2</v>
      </c>
      <c r="E26" s="623">
        <f t="shared" ref="E26:E36" si="8">$C$24+(PRODUCT($C26,$D$13))</f>
        <v>1.12E-2</v>
      </c>
      <c r="W26" s="9"/>
      <c r="Y26" s="37"/>
      <c r="AC26" s="37"/>
    </row>
    <row r="27" spans="3:29" x14ac:dyDescent="0.25">
      <c r="C27" s="11">
        <v>3</v>
      </c>
      <c r="D27" s="623">
        <f t="shared" si="7"/>
        <v>1.0699999999999999E-2</v>
      </c>
      <c r="E27" s="623">
        <f t="shared" si="8"/>
        <v>1.1299999999999999E-2</v>
      </c>
      <c r="Y27" s="37"/>
      <c r="AC27" s="37"/>
    </row>
    <row r="28" spans="3:29" x14ac:dyDescent="0.25">
      <c r="C28" s="11">
        <v>4</v>
      </c>
      <c r="D28" s="623">
        <f t="shared" si="7"/>
        <v>1.06E-2</v>
      </c>
      <c r="E28" s="623">
        <f t="shared" si="8"/>
        <v>1.1399999999999999E-2</v>
      </c>
      <c r="Y28" s="37"/>
      <c r="AC28" s="37"/>
    </row>
    <row r="29" spans="3:29" x14ac:dyDescent="0.25">
      <c r="C29" s="11">
        <v>5</v>
      </c>
      <c r="D29" s="623">
        <f t="shared" si="7"/>
        <v>1.0499999999999999E-2</v>
      </c>
      <c r="E29" s="623">
        <f t="shared" si="8"/>
        <v>1.15E-2</v>
      </c>
      <c r="T29" s="15"/>
      <c r="Y29" s="37"/>
      <c r="AC29" s="37"/>
    </row>
    <row r="30" spans="3:29" x14ac:dyDescent="0.25">
      <c r="C30" s="11">
        <v>6</v>
      </c>
      <c r="D30" s="623">
        <f t="shared" si="7"/>
        <v>1.04E-2</v>
      </c>
      <c r="E30" s="623">
        <f t="shared" si="8"/>
        <v>1.1599999999999999E-2</v>
      </c>
      <c r="Y30" s="37"/>
    </row>
    <row r="31" spans="3:29" x14ac:dyDescent="0.25">
      <c r="C31" s="11">
        <v>7</v>
      </c>
      <c r="D31" s="623">
        <f t="shared" si="7"/>
        <v>1.03E-2</v>
      </c>
      <c r="E31" s="623">
        <f t="shared" si="8"/>
        <v>1.1699999999999999E-2</v>
      </c>
      <c r="Y31" s="37"/>
    </row>
    <row r="32" spans="3:29" x14ac:dyDescent="0.25">
      <c r="C32" s="11">
        <v>8</v>
      </c>
      <c r="D32" s="623">
        <f t="shared" si="7"/>
        <v>1.0199999999999999E-2</v>
      </c>
      <c r="E32" s="623">
        <f t="shared" si="8"/>
        <v>1.18E-2</v>
      </c>
      <c r="Y32" s="37"/>
    </row>
    <row r="33" spans="3:25" x14ac:dyDescent="0.25">
      <c r="C33" s="11">
        <v>9</v>
      </c>
      <c r="D33" s="623">
        <f t="shared" si="7"/>
        <v>1.01E-2</v>
      </c>
      <c r="E33" s="623">
        <f t="shared" si="8"/>
        <v>1.1899999999999999E-2</v>
      </c>
      <c r="Y33" s="37"/>
    </row>
    <row r="34" spans="3:25" x14ac:dyDescent="0.25">
      <c r="C34" s="11">
        <v>10</v>
      </c>
      <c r="D34" s="623">
        <f t="shared" si="7"/>
        <v>9.9999999999999985E-3</v>
      </c>
      <c r="E34" s="623">
        <f t="shared" si="8"/>
        <v>1.2E-2</v>
      </c>
      <c r="Y34" s="37"/>
    </row>
    <row r="35" spans="3:25" x14ac:dyDescent="0.25">
      <c r="C35" s="11">
        <v>11</v>
      </c>
      <c r="D35" s="623">
        <f t="shared" si="7"/>
        <v>9.8999999999999991E-3</v>
      </c>
      <c r="E35" s="623">
        <f t="shared" si="8"/>
        <v>1.21E-2</v>
      </c>
      <c r="Y35" s="37"/>
    </row>
    <row r="36" spans="3:25" x14ac:dyDescent="0.25">
      <c r="C36" s="11">
        <v>12</v>
      </c>
      <c r="D36" s="623">
        <f t="shared" si="7"/>
        <v>9.7999999999999997E-3</v>
      </c>
      <c r="E36" s="623">
        <f t="shared" si="8"/>
        <v>1.2199999999999999E-2</v>
      </c>
    </row>
    <row r="39" spans="3:25" x14ac:dyDescent="0.25">
      <c r="C39" s="13" t="s">
        <v>125</v>
      </c>
    </row>
    <row r="40" spans="3:25" x14ac:dyDescent="0.25">
      <c r="C40" s="13" t="s">
        <v>126</v>
      </c>
    </row>
    <row r="41" spans="3:25" x14ac:dyDescent="0.25">
      <c r="C41" s="13" t="s">
        <v>127</v>
      </c>
    </row>
    <row r="42" spans="3:25" x14ac:dyDescent="0.25">
      <c r="C42" s="13" t="s">
        <v>128</v>
      </c>
    </row>
    <row r="53" spans="1:2" x14ac:dyDescent="0.25">
      <c r="A53" s="50"/>
      <c r="B53" s="50"/>
    </row>
  </sheetData>
  <sheetProtection algorithmName="SHA-512" hashValue="xe6SHVjZstKhiv/fCD+EHf9EzsSKRatun2+GluPaAoCP4QRQYfB2QQdUGvzZRpjpe5qjFhmKWgcWH9gWCUsNbA==" saltValue="jwnnDF6WuNiVLdq27FiCmw==" spinCount="100000" sheet="1" objects="1" scenarios="1"/>
  <mergeCells count="3">
    <mergeCell ref="S5:W6"/>
    <mergeCell ref="S13:S14"/>
    <mergeCell ref="V13:V14"/>
  </mergeCells>
  <conditionalFormatting sqref="S8:S10">
    <cfRule type="expression" dxfId="21" priority="1">
      <formula>#REF!="y"</formula>
    </cfRule>
  </conditionalFormatting>
  <pageMargins left="0.7" right="0.7" top="0.75" bottom="0.75" header="0.3" footer="0.3"/>
  <pageSetup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3AD30-73D2-45EB-A2A1-8782F2212D04}">
  <sheetPr codeName="Sheet14">
    <tabColor rgb="FFFF0000"/>
    <outlinePr summaryBelow="0"/>
    <pageSetUpPr autoPageBreaks="0" fitToPage="1"/>
  </sheetPr>
  <dimension ref="A1:AW40"/>
  <sheetViews>
    <sheetView topLeftCell="D1" zoomScale="90" zoomScaleNormal="90" workbookViewId="0">
      <selection activeCell="S4" sqref="S4"/>
    </sheetView>
  </sheetViews>
  <sheetFormatPr defaultColWidth="8.85546875" defaultRowHeight="15" outlineLevelRow="1" outlineLevelCol="1" x14ac:dyDescent="0.25"/>
  <cols>
    <col min="1" max="1" width="2.7109375" style="83" customWidth="1"/>
    <col min="2" max="3" width="9" style="83" customWidth="1" outlineLevel="1"/>
    <col min="4" max="5" width="9" style="84" customWidth="1" outlineLevel="1"/>
    <col min="6" max="6" width="2.7109375" style="84" customWidth="1" outlineLevel="1"/>
    <col min="7" max="8" width="11.28515625" style="83" customWidth="1" outlineLevel="1"/>
    <col min="9" max="9" width="2.7109375" style="84" customWidth="1" outlineLevel="1"/>
    <col min="10" max="11" width="11.85546875" style="83" customWidth="1" outlineLevel="1"/>
    <col min="12" max="12" width="2.7109375" style="84" customWidth="1" outlineLevel="1"/>
    <col min="13" max="13" width="2.7109375" style="83" customWidth="1"/>
    <col min="14" max="14" width="23.28515625" style="83" customWidth="1"/>
    <col min="15" max="15" width="23.28515625" style="57" customWidth="1"/>
    <col min="16" max="16" width="17.5703125" style="57" customWidth="1"/>
    <col min="17" max="17" width="17.5703125" style="85" customWidth="1"/>
    <col min="18" max="19" width="12" style="56" customWidth="1"/>
    <col min="20" max="20" width="17.5703125" style="56" customWidth="1" outlineLevel="1"/>
    <col min="21" max="21" width="17.28515625" style="56" customWidth="1" outlineLevel="1"/>
    <col min="22" max="22" width="2.5703125" style="56" customWidth="1" outlineLevel="1"/>
    <col min="23" max="23" width="22.7109375" style="64" customWidth="1" outlineLevel="1"/>
    <col min="24" max="24" width="21.28515625" style="56" customWidth="1" outlineLevel="1"/>
    <col min="25" max="26" width="21.28515625" style="56" customWidth="1"/>
    <col min="27" max="32" width="12" style="56" customWidth="1"/>
    <col min="33" max="38" width="9.28515625" style="56" customWidth="1"/>
    <col min="39" max="16384" width="8.85546875" style="83"/>
  </cols>
  <sheetData>
    <row r="1" spans="1:49" ht="5.0999999999999996" customHeight="1" x14ac:dyDescent="0.25"/>
    <row r="2" spans="1:49" s="56" customFormat="1" ht="21" x14ac:dyDescent="0.35">
      <c r="A2" s="83"/>
      <c r="B2" s="83"/>
      <c r="C2" s="86"/>
      <c r="D2" s="87"/>
      <c r="E2" s="84"/>
      <c r="F2" s="84"/>
      <c r="G2" s="83"/>
      <c r="H2" s="83"/>
      <c r="I2" s="84"/>
      <c r="J2" s="83"/>
      <c r="K2" s="83"/>
      <c r="L2" s="84"/>
      <c r="M2" s="83"/>
      <c r="N2" s="114" t="s">
        <v>584</v>
      </c>
      <c r="O2" s="57"/>
      <c r="P2" s="57"/>
      <c r="Q2" s="85"/>
      <c r="W2" s="64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</row>
    <row r="3" spans="1:49" s="56" customFormat="1" ht="18.75" x14ac:dyDescent="0.3">
      <c r="A3" s="83"/>
      <c r="B3" s="83"/>
      <c r="C3" s="86"/>
      <c r="D3" s="87"/>
      <c r="E3" s="84"/>
      <c r="F3" s="84"/>
      <c r="G3" s="83"/>
      <c r="H3" s="83"/>
      <c r="I3" s="84"/>
      <c r="J3" s="83"/>
      <c r="K3" s="83"/>
      <c r="L3" s="84"/>
      <c r="M3" s="83"/>
      <c r="N3" s="88"/>
      <c r="O3" s="57"/>
      <c r="P3" s="57"/>
      <c r="Q3" s="85"/>
      <c r="W3" s="64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</row>
    <row r="4" spans="1:49" s="56" customFormat="1" ht="15.75" outlineLevel="1" x14ac:dyDescent="0.25">
      <c r="A4" s="83"/>
      <c r="B4" s="83"/>
      <c r="C4" s="56" t="s">
        <v>578</v>
      </c>
      <c r="D4" s="64" t="s">
        <v>580</v>
      </c>
      <c r="E4" s="84"/>
      <c r="F4" s="84"/>
      <c r="G4" s="83"/>
      <c r="H4" s="83"/>
      <c r="I4" s="84"/>
      <c r="J4" s="83"/>
      <c r="K4" s="83"/>
      <c r="L4" s="84"/>
      <c r="M4" s="83"/>
      <c r="N4" s="89"/>
      <c r="O4" s="57"/>
      <c r="P4" s="57"/>
      <c r="Q4" s="85"/>
      <c r="T4" s="135" t="s">
        <v>575</v>
      </c>
      <c r="U4" s="135"/>
      <c r="V4" s="136"/>
      <c r="W4" s="135" t="s">
        <v>576</v>
      </c>
      <c r="X4" s="135"/>
      <c r="AM4" s="83"/>
      <c r="AN4" s="83"/>
      <c r="AO4" s="83"/>
      <c r="AP4" s="83"/>
      <c r="AQ4" s="83"/>
      <c r="AR4" s="83"/>
      <c r="AS4" s="83"/>
      <c r="AT4" s="83"/>
    </row>
    <row r="5" spans="1:49" s="56" customFormat="1" ht="16.5" outlineLevel="1" thickBot="1" x14ac:dyDescent="0.3">
      <c r="A5" s="83"/>
      <c r="B5" s="83"/>
      <c r="C5" s="83"/>
      <c r="D5" s="84"/>
      <c r="E5" s="84"/>
      <c r="F5" s="84"/>
      <c r="G5" s="83"/>
      <c r="H5" s="83"/>
      <c r="I5" s="84"/>
      <c r="J5" s="83"/>
      <c r="K5" s="83"/>
      <c r="L5" s="84"/>
      <c r="M5" s="83"/>
      <c r="N5" s="89"/>
      <c r="O5" s="57"/>
      <c r="P5" s="57"/>
      <c r="Q5" s="85"/>
      <c r="T5" s="78"/>
      <c r="U5" s="78"/>
      <c r="V5" s="78"/>
      <c r="W5" s="137"/>
      <c r="X5" s="78"/>
      <c r="AM5" s="83"/>
      <c r="AN5" s="83"/>
      <c r="AO5" s="83"/>
      <c r="AP5" s="83"/>
      <c r="AQ5" s="83"/>
      <c r="AR5" s="83"/>
      <c r="AS5" s="83"/>
      <c r="AT5" s="83"/>
    </row>
    <row r="6" spans="1:49" s="104" customFormat="1" ht="15.75" x14ac:dyDescent="0.25">
      <c r="A6" s="102"/>
      <c r="B6" s="107"/>
      <c r="C6" s="108"/>
      <c r="D6" s="108"/>
      <c r="E6" s="108"/>
      <c r="F6" s="108"/>
      <c r="G6" s="102"/>
      <c r="H6" s="102"/>
      <c r="I6" s="108"/>
      <c r="J6" s="102"/>
      <c r="K6" s="102"/>
      <c r="L6" s="108"/>
      <c r="M6" s="102"/>
      <c r="N6" s="81" t="s">
        <v>541</v>
      </c>
      <c r="O6" s="81"/>
      <c r="P6" s="81"/>
      <c r="Q6" s="82"/>
      <c r="T6" s="138"/>
      <c r="U6" s="138"/>
      <c r="V6" s="138"/>
      <c r="W6" s="139"/>
      <c r="X6" s="138"/>
      <c r="AM6" s="102"/>
      <c r="AN6" s="102"/>
      <c r="AO6" s="102"/>
      <c r="AP6" s="102"/>
      <c r="AQ6" s="102"/>
      <c r="AR6" s="102"/>
      <c r="AS6" s="102"/>
      <c r="AT6" s="102"/>
    </row>
    <row r="7" spans="1:49" s="104" customFormat="1" ht="15.75" x14ac:dyDescent="0.25">
      <c r="A7" s="102"/>
      <c r="B7" s="105" t="s">
        <v>579</v>
      </c>
      <c r="C7" s="105"/>
      <c r="D7" s="106"/>
      <c r="E7" s="106"/>
      <c r="F7" s="106"/>
      <c r="G7" s="91" t="s">
        <v>581</v>
      </c>
      <c r="H7" s="91" t="s">
        <v>582</v>
      </c>
      <c r="I7" s="106"/>
      <c r="J7" s="91" t="s">
        <v>581</v>
      </c>
      <c r="K7" s="91" t="s">
        <v>582</v>
      </c>
      <c r="L7" s="106"/>
      <c r="M7" s="102"/>
      <c r="N7" s="115" t="s">
        <v>3</v>
      </c>
      <c r="O7" s="116" t="s">
        <v>3</v>
      </c>
      <c r="P7" s="128" t="s">
        <v>399</v>
      </c>
      <c r="Q7" s="124" t="s">
        <v>573</v>
      </c>
      <c r="T7" s="141" t="s">
        <v>188</v>
      </c>
      <c r="U7" s="141" t="s">
        <v>215</v>
      </c>
      <c r="V7" s="138"/>
      <c r="W7" s="141" t="s">
        <v>188</v>
      </c>
      <c r="X7" s="141" t="s">
        <v>215</v>
      </c>
      <c r="AM7" s="102"/>
      <c r="AN7" s="102"/>
      <c r="AO7" s="102"/>
      <c r="AP7" s="102"/>
      <c r="AQ7" s="102"/>
      <c r="AR7" s="102"/>
      <c r="AS7" s="102"/>
      <c r="AT7" s="102"/>
    </row>
    <row r="8" spans="1:49" s="104" customFormat="1" ht="15.75" x14ac:dyDescent="0.25">
      <c r="A8" s="102"/>
      <c r="B8" s="109" t="s">
        <v>196</v>
      </c>
      <c r="C8" s="103" t="s">
        <v>478</v>
      </c>
      <c r="D8" s="108" t="s">
        <v>188</v>
      </c>
      <c r="E8" s="108" t="s">
        <v>583</v>
      </c>
      <c r="F8" s="108"/>
      <c r="G8" s="110">
        <v>5.0000000000000001E-3</v>
      </c>
      <c r="H8" s="110">
        <v>7.5499999999999998E-2</v>
      </c>
      <c r="I8" s="108"/>
      <c r="J8" s="111">
        <v>0.22</v>
      </c>
      <c r="K8" s="111">
        <v>1.91</v>
      </c>
      <c r="L8" s="108"/>
      <c r="M8" s="102"/>
      <c r="N8" s="132" t="str">
        <f t="shared" ref="N8:N15" si="0">_xlfn.CONCAT(TEXT($G8,"#.000#"),""""," - ",TEXT($H8,"#.000#"),"""")</f>
        <v>.005" - .0755"</v>
      </c>
      <c r="O8" s="117" t="str">
        <f t="shared" ref="O8:O15" si="1">_xlfn.CONCAT(TEXT($J8,"#.00")," - ",TEXT($K8,"#.00"),"mm")</f>
        <v>.22 - 1.91mm</v>
      </c>
      <c r="P8" s="129" t="str">
        <f>$C8</f>
        <v>1W</v>
      </c>
      <c r="Q8" s="125">
        <v>34</v>
      </c>
      <c r="T8" s="140" t="str">
        <f t="shared" ref="T8:T15" si="2">_xlfn.CONCAT($C$4,"-",$B8,"-",$C8,"-",$D8)</f>
        <v>ASSY-Z-1W-GO</v>
      </c>
      <c r="U8" s="140" t="str">
        <f t="shared" ref="U8:U15" si="3">_xlfn.CONCAT($C$4,"-",$B8,"-",$C8,"-",$E8)</f>
        <v>ASSY-Z-1W-NG</v>
      </c>
      <c r="V8" s="138"/>
      <c r="W8" s="123" t="str">
        <f t="shared" ref="W8:W15" si="4">_xlfn.CONCAT($C$4,"-",$D$4,"-",$B8,"-",$C8,"-",$D8)</f>
        <v>ASSY-MM-Z-1W-GO</v>
      </c>
      <c r="X8" s="123" t="str">
        <f t="shared" ref="X8:X15" si="5">_xlfn.CONCAT($C$4,"-",$D$4,"-",$B8,"-",$C8,"-",$E8)</f>
        <v>ASSY-MM-Z-1W-NG</v>
      </c>
    </row>
    <row r="9" spans="1:49" s="104" customFormat="1" ht="15.75" x14ac:dyDescent="0.25">
      <c r="A9" s="102"/>
      <c r="B9" s="112" t="str">
        <f>B8</f>
        <v>Z</v>
      </c>
      <c r="C9" s="103" t="s">
        <v>479</v>
      </c>
      <c r="D9" s="103" t="str">
        <f>D8</f>
        <v>GO</v>
      </c>
      <c r="E9" s="103" t="s">
        <v>583</v>
      </c>
      <c r="F9" s="103"/>
      <c r="G9" s="110">
        <v>7.5999999999999998E-2</v>
      </c>
      <c r="H9" s="110">
        <v>0.18049999999999999</v>
      </c>
      <c r="I9" s="103"/>
      <c r="J9" s="111">
        <v>1.92</v>
      </c>
      <c r="K9" s="111">
        <v>4.57</v>
      </c>
      <c r="L9" s="103"/>
      <c r="M9" s="102"/>
      <c r="N9" s="133" t="str">
        <f t="shared" si="0"/>
        <v>.076" - .1805"</v>
      </c>
      <c r="O9" s="118" t="str">
        <f t="shared" si="1"/>
        <v>1.92 - 4.57mm</v>
      </c>
      <c r="P9" s="130" t="str">
        <f t="shared" ref="P9:P15" si="6">$C9</f>
        <v>2W</v>
      </c>
      <c r="Q9" s="126">
        <v>32.5</v>
      </c>
      <c r="T9" s="140" t="str">
        <f t="shared" si="2"/>
        <v>ASSY-Z-2W-GO</v>
      </c>
      <c r="U9" s="140" t="str">
        <f t="shared" si="3"/>
        <v>ASSY-Z-2W-NG</v>
      </c>
      <c r="V9" s="138"/>
      <c r="W9" s="123" t="str">
        <f t="shared" si="4"/>
        <v>ASSY-MM-Z-2W-GO</v>
      </c>
      <c r="X9" s="123" t="str">
        <f t="shared" si="5"/>
        <v>ASSY-MM-Z-2W-NG</v>
      </c>
    </row>
    <row r="10" spans="1:49" s="104" customFormat="1" ht="15.75" x14ac:dyDescent="0.25">
      <c r="A10" s="102"/>
      <c r="B10" s="112" t="str">
        <f t="shared" ref="B10:B15" si="7">B9</f>
        <v>Z</v>
      </c>
      <c r="C10" s="103" t="s">
        <v>480</v>
      </c>
      <c r="D10" s="103" t="str">
        <f t="shared" ref="D10:D15" si="8">D9</f>
        <v>GO</v>
      </c>
      <c r="E10" s="103" t="s">
        <v>583</v>
      </c>
      <c r="F10" s="103"/>
      <c r="G10" s="110">
        <v>0.18099999999999999</v>
      </c>
      <c r="H10" s="110">
        <v>0.28149999999999997</v>
      </c>
      <c r="I10" s="103"/>
      <c r="J10" s="111">
        <v>4.58</v>
      </c>
      <c r="K10" s="111">
        <v>7.14</v>
      </c>
      <c r="L10" s="103"/>
      <c r="M10" s="102"/>
      <c r="N10" s="132" t="str">
        <f t="shared" si="0"/>
        <v>.181" - .2815"</v>
      </c>
      <c r="O10" s="117" t="str">
        <f t="shared" si="1"/>
        <v>4.58 - 7.14mm</v>
      </c>
      <c r="P10" s="129" t="str">
        <f t="shared" si="6"/>
        <v>3W</v>
      </c>
      <c r="Q10" s="125">
        <v>34.75</v>
      </c>
      <c r="T10" s="140" t="str">
        <f t="shared" si="2"/>
        <v>ASSY-Z-3W-GO</v>
      </c>
      <c r="U10" s="140" t="str">
        <f t="shared" si="3"/>
        <v>ASSY-Z-3W-NG</v>
      </c>
      <c r="V10" s="138"/>
      <c r="W10" s="123" t="str">
        <f t="shared" si="4"/>
        <v>ASSY-MM-Z-3W-GO</v>
      </c>
      <c r="X10" s="123" t="str">
        <f t="shared" si="5"/>
        <v>ASSY-MM-Z-3W-NG</v>
      </c>
    </row>
    <row r="11" spans="1:49" s="104" customFormat="1" ht="15.75" x14ac:dyDescent="0.25">
      <c r="A11" s="102"/>
      <c r="B11" s="112" t="str">
        <f t="shared" si="7"/>
        <v>Z</v>
      </c>
      <c r="C11" s="103" t="s">
        <v>481</v>
      </c>
      <c r="D11" s="103" t="str">
        <f t="shared" si="8"/>
        <v>GO</v>
      </c>
      <c r="E11" s="103" t="s">
        <v>583</v>
      </c>
      <c r="F11" s="103"/>
      <c r="G11" s="110">
        <v>0.28199999999999997</v>
      </c>
      <c r="H11" s="110">
        <v>0.40649999999999997</v>
      </c>
      <c r="I11" s="103"/>
      <c r="J11" s="111">
        <v>7.15</v>
      </c>
      <c r="K11" s="111">
        <v>10.31</v>
      </c>
      <c r="L11" s="103"/>
      <c r="M11" s="102"/>
      <c r="N11" s="133" t="str">
        <f t="shared" si="0"/>
        <v>.282" - .4065"</v>
      </c>
      <c r="O11" s="118" t="str">
        <f t="shared" si="1"/>
        <v>7.15 - 10.31mm</v>
      </c>
      <c r="P11" s="130" t="str">
        <f t="shared" si="6"/>
        <v>4W</v>
      </c>
      <c r="Q11" s="126">
        <v>35.5</v>
      </c>
      <c r="T11" s="140" t="str">
        <f t="shared" si="2"/>
        <v>ASSY-Z-4W-GO</v>
      </c>
      <c r="U11" s="140" t="str">
        <f t="shared" si="3"/>
        <v>ASSY-Z-4W-NG</v>
      </c>
      <c r="V11" s="138"/>
      <c r="W11" s="123" t="str">
        <f t="shared" si="4"/>
        <v>ASSY-MM-Z-4W-GO</v>
      </c>
      <c r="X11" s="123" t="str">
        <f t="shared" si="5"/>
        <v>ASSY-MM-Z-4W-NG</v>
      </c>
    </row>
    <row r="12" spans="1:49" s="104" customFormat="1" ht="15.75" x14ac:dyDescent="0.25">
      <c r="A12" s="102"/>
      <c r="B12" s="112" t="str">
        <f t="shared" si="7"/>
        <v>Z</v>
      </c>
      <c r="C12" s="103" t="s">
        <v>482</v>
      </c>
      <c r="D12" s="103" t="str">
        <f t="shared" si="8"/>
        <v>GO</v>
      </c>
      <c r="E12" s="103" t="s">
        <v>583</v>
      </c>
      <c r="F12" s="103"/>
      <c r="G12" s="110">
        <v>0.40699999999999997</v>
      </c>
      <c r="H12" s="110">
        <v>0.51049999999999995</v>
      </c>
      <c r="I12" s="103"/>
      <c r="J12" s="111">
        <v>10.32</v>
      </c>
      <c r="K12" s="111">
        <v>12.95</v>
      </c>
      <c r="L12" s="103"/>
      <c r="M12" s="102"/>
      <c r="N12" s="132" t="str">
        <f t="shared" si="0"/>
        <v>.407" - .5105"</v>
      </c>
      <c r="O12" s="117" t="str">
        <f t="shared" si="1"/>
        <v>10.32 - 12.95mm</v>
      </c>
      <c r="P12" s="129" t="str">
        <f t="shared" si="6"/>
        <v>5W</v>
      </c>
      <c r="Q12" s="125">
        <v>40.5</v>
      </c>
      <c r="T12" s="140" t="str">
        <f t="shared" si="2"/>
        <v>ASSY-Z-5W-GO</v>
      </c>
      <c r="U12" s="140" t="str">
        <f t="shared" si="3"/>
        <v>ASSY-Z-5W-NG</v>
      </c>
      <c r="V12" s="138"/>
      <c r="W12" s="123" t="str">
        <f t="shared" si="4"/>
        <v>ASSY-MM-Z-5W-GO</v>
      </c>
      <c r="X12" s="123" t="str">
        <f t="shared" si="5"/>
        <v>ASSY-MM-Z-5W-NG</v>
      </c>
    </row>
    <row r="13" spans="1:49" s="104" customFormat="1" ht="15.75" x14ac:dyDescent="0.25">
      <c r="A13" s="102"/>
      <c r="B13" s="112" t="str">
        <f t="shared" si="7"/>
        <v>Z</v>
      </c>
      <c r="C13" s="103" t="s">
        <v>483</v>
      </c>
      <c r="D13" s="103" t="str">
        <f t="shared" si="8"/>
        <v>GO</v>
      </c>
      <c r="E13" s="103" t="s">
        <v>583</v>
      </c>
      <c r="F13" s="103"/>
      <c r="G13" s="110">
        <v>0.51100000000000001</v>
      </c>
      <c r="H13" s="110">
        <v>0.63549999999999995</v>
      </c>
      <c r="I13" s="103"/>
      <c r="J13" s="111">
        <v>12.96</v>
      </c>
      <c r="K13" s="111">
        <v>16.13</v>
      </c>
      <c r="L13" s="103"/>
      <c r="M13" s="102"/>
      <c r="N13" s="133" t="str">
        <f t="shared" si="0"/>
        <v>.511" - .6355"</v>
      </c>
      <c r="O13" s="118" t="str">
        <f t="shared" si="1"/>
        <v>12.96 - 16.13mm</v>
      </c>
      <c r="P13" s="130" t="str">
        <f t="shared" si="6"/>
        <v>6W</v>
      </c>
      <c r="Q13" s="126">
        <v>46.75</v>
      </c>
      <c r="T13" s="140" t="str">
        <f t="shared" si="2"/>
        <v>ASSY-Z-6W-GO</v>
      </c>
      <c r="U13" s="140" t="str">
        <f t="shared" si="3"/>
        <v>ASSY-Z-6W-NG</v>
      </c>
      <c r="V13" s="138"/>
      <c r="W13" s="123" t="str">
        <f t="shared" si="4"/>
        <v>ASSY-MM-Z-6W-GO</v>
      </c>
      <c r="X13" s="123" t="str">
        <f t="shared" si="5"/>
        <v>ASSY-MM-Z-6W-NG</v>
      </c>
    </row>
    <row r="14" spans="1:49" s="104" customFormat="1" ht="15.75" x14ac:dyDescent="0.25">
      <c r="A14" s="102"/>
      <c r="B14" s="112" t="str">
        <f t="shared" si="7"/>
        <v>Z</v>
      </c>
      <c r="C14" s="103" t="s">
        <v>484</v>
      </c>
      <c r="D14" s="103" t="str">
        <f t="shared" si="8"/>
        <v>GO</v>
      </c>
      <c r="E14" s="103" t="s">
        <v>583</v>
      </c>
      <c r="F14" s="103"/>
      <c r="G14" s="110">
        <v>0.63600000000000001</v>
      </c>
      <c r="H14" s="110">
        <v>0.76049999999999995</v>
      </c>
      <c r="I14" s="103"/>
      <c r="J14" s="111">
        <v>16.14</v>
      </c>
      <c r="K14" s="111">
        <v>19.3</v>
      </c>
      <c r="L14" s="103"/>
      <c r="M14" s="102"/>
      <c r="N14" s="132" t="str">
        <f t="shared" si="0"/>
        <v>.636" - .7605"</v>
      </c>
      <c r="O14" s="117" t="str">
        <f t="shared" si="1"/>
        <v>16.14 - 19.30mm</v>
      </c>
      <c r="P14" s="129" t="str">
        <f t="shared" si="6"/>
        <v>7W</v>
      </c>
      <c r="Q14" s="125">
        <v>54</v>
      </c>
      <c r="T14" s="140" t="str">
        <f t="shared" si="2"/>
        <v>ASSY-Z-7W-GO</v>
      </c>
      <c r="U14" s="140" t="str">
        <f t="shared" si="3"/>
        <v>ASSY-Z-7W-NG</v>
      </c>
      <c r="V14" s="138"/>
      <c r="W14" s="123" t="str">
        <f t="shared" si="4"/>
        <v>ASSY-MM-Z-7W-GO</v>
      </c>
      <c r="X14" s="123" t="str">
        <f t="shared" si="5"/>
        <v>ASSY-MM-Z-7W-NG</v>
      </c>
    </row>
    <row r="15" spans="1:49" s="104" customFormat="1" ht="16.5" thickBot="1" x14ac:dyDescent="0.3">
      <c r="A15" s="102"/>
      <c r="B15" s="112" t="str">
        <f t="shared" si="7"/>
        <v>Z</v>
      </c>
      <c r="C15" s="103" t="s">
        <v>485</v>
      </c>
      <c r="D15" s="103" t="str">
        <f t="shared" si="8"/>
        <v>GO</v>
      </c>
      <c r="E15" s="103" t="s">
        <v>583</v>
      </c>
      <c r="F15" s="103"/>
      <c r="G15" s="110">
        <v>0.76100000000000001</v>
      </c>
      <c r="H15" s="110">
        <v>1.01</v>
      </c>
      <c r="I15" s="103"/>
      <c r="J15" s="111">
        <v>19.309999999999999</v>
      </c>
      <c r="K15" s="111">
        <v>25.41</v>
      </c>
      <c r="L15" s="103"/>
      <c r="M15" s="102"/>
      <c r="N15" s="134" t="str">
        <f t="shared" si="0"/>
        <v>.761" - 1.010"</v>
      </c>
      <c r="O15" s="119" t="str">
        <f t="shared" si="1"/>
        <v>19.31 - 25.41mm</v>
      </c>
      <c r="P15" s="131" t="str">
        <f t="shared" si="6"/>
        <v>8W</v>
      </c>
      <c r="Q15" s="127">
        <v>65.5</v>
      </c>
      <c r="T15" s="140" t="str">
        <f t="shared" si="2"/>
        <v>ASSY-Z-8W-GO</v>
      </c>
      <c r="U15" s="140" t="str">
        <f t="shared" si="3"/>
        <v>ASSY-Z-8W-NG</v>
      </c>
      <c r="V15" s="138"/>
      <c r="W15" s="123" t="str">
        <f t="shared" si="4"/>
        <v>ASSY-MM-Z-8W-GO</v>
      </c>
      <c r="X15" s="123" t="str">
        <f t="shared" si="5"/>
        <v>ASSY-MM-Z-8W-NG</v>
      </c>
    </row>
    <row r="16" spans="1:49" customFormat="1" ht="15.75" x14ac:dyDescent="0.25">
      <c r="N16" s="9"/>
      <c r="O16" s="9"/>
      <c r="P16" s="9"/>
      <c r="Q16" s="9"/>
      <c r="T16" s="9"/>
      <c r="U16" s="9"/>
      <c r="V16" s="9"/>
      <c r="W16" s="8"/>
      <c r="X16" s="9"/>
    </row>
    <row r="17" spans="1:24" customFormat="1" ht="16.5" thickBot="1" x14ac:dyDescent="0.3">
      <c r="N17" s="9"/>
      <c r="O17" s="9"/>
      <c r="P17" s="9"/>
      <c r="Q17" s="9"/>
      <c r="T17" s="9"/>
      <c r="U17" s="78"/>
      <c r="V17" s="9"/>
      <c r="W17" s="8"/>
      <c r="X17" s="9"/>
    </row>
    <row r="18" spans="1:24" customFormat="1" ht="15.75" x14ac:dyDescent="0.25">
      <c r="N18" s="81" t="s">
        <v>213</v>
      </c>
      <c r="O18" s="81"/>
      <c r="P18" s="81"/>
      <c r="Q18" s="82"/>
      <c r="T18" s="9"/>
      <c r="U18" s="9"/>
      <c r="V18" s="9"/>
      <c r="W18" s="8"/>
      <c r="X18" s="9"/>
    </row>
    <row r="19" spans="1:24" s="56" customFormat="1" ht="15.75" x14ac:dyDescent="0.25">
      <c r="A19" s="83"/>
      <c r="B19" s="83"/>
      <c r="C19" s="84"/>
      <c r="D19" s="84"/>
      <c r="E19" s="84"/>
      <c r="F19" s="84"/>
      <c r="G19" s="94"/>
      <c r="H19" s="94"/>
      <c r="I19" s="84"/>
      <c r="J19" s="85"/>
      <c r="K19" s="85"/>
      <c r="L19" s="84"/>
      <c r="M19" s="83"/>
      <c r="N19" s="115" t="s">
        <v>3</v>
      </c>
      <c r="O19" s="116" t="s">
        <v>3</v>
      </c>
      <c r="P19" s="128" t="s">
        <v>399</v>
      </c>
      <c r="Q19" s="124" t="s">
        <v>573</v>
      </c>
      <c r="T19" s="141" t="s">
        <v>188</v>
      </c>
      <c r="U19" s="141" t="s">
        <v>215</v>
      </c>
      <c r="V19" s="138"/>
      <c r="W19" s="141" t="s">
        <v>188</v>
      </c>
      <c r="X19" s="141" t="s">
        <v>215</v>
      </c>
    </row>
    <row r="20" spans="1:24" s="56" customFormat="1" ht="15.75" x14ac:dyDescent="0.25">
      <c r="A20" s="83"/>
      <c r="B20" s="96" t="s">
        <v>197</v>
      </c>
      <c r="C20" s="84" t="s">
        <v>478</v>
      </c>
      <c r="D20" s="89" t="s">
        <v>188</v>
      </c>
      <c r="E20" s="89" t="s">
        <v>583</v>
      </c>
      <c r="F20" s="89"/>
      <c r="G20" s="92">
        <v>5.0000000000000001E-3</v>
      </c>
      <c r="H20" s="92">
        <v>7.4999999999999997E-2</v>
      </c>
      <c r="I20" s="89"/>
      <c r="J20" s="97">
        <v>0.22</v>
      </c>
      <c r="K20" s="97">
        <v>1.91</v>
      </c>
      <c r="L20" s="89"/>
      <c r="M20" s="83"/>
      <c r="N20" s="132" t="str">
        <f t="shared" ref="N20:N27" si="9">_xlfn.CONCAT(TEXT($G20,"#.000#"),""""," - ",TEXT($H20,"#.000#"),"""")</f>
        <v>.005" - .075"</v>
      </c>
      <c r="O20" s="117" t="str">
        <f t="shared" ref="O20:O27" si="10">_xlfn.CONCAT(TEXT($J20,"#.00#")," - ",TEXT($K20,"0.00#"),"mm")</f>
        <v>.22 - 1.91mm</v>
      </c>
      <c r="P20" s="129" t="str">
        <f>$C20</f>
        <v>1W</v>
      </c>
      <c r="Q20" s="125">
        <v>42.25</v>
      </c>
      <c r="T20" s="140" t="str">
        <f t="shared" ref="T20:T27" si="11">_xlfn.CONCAT($C$4,"-",$B20,"-",$C20,"-",$D20)</f>
        <v>ASSY-X-1W-GO</v>
      </c>
      <c r="U20" s="140" t="str">
        <f t="shared" ref="U20:U27" si="12">_xlfn.CONCAT($C$4,"-",$B20,"-",$C20,"-",$E20)</f>
        <v>ASSY-X-1W-NG</v>
      </c>
      <c r="V20" s="138"/>
      <c r="W20" s="123" t="str">
        <f t="shared" ref="W20:W27" si="13">_xlfn.CONCAT($C$4,"-",$D$4,"-",$B20,"-",$C20,"-",$D20)</f>
        <v>ASSY-MM-X-1W-GO</v>
      </c>
      <c r="X20" s="123" t="str">
        <f t="shared" ref="X20:X27" si="14">_xlfn.CONCAT($C$4,"-",$D$4,"-",$B20,"-",$C20,"-",$E20)</f>
        <v>ASSY-MM-X-1W-NG</v>
      </c>
    </row>
    <row r="21" spans="1:24" s="56" customFormat="1" ht="15.75" x14ac:dyDescent="0.25">
      <c r="A21" s="83"/>
      <c r="B21" s="98" t="str">
        <f>B20</f>
        <v>X</v>
      </c>
      <c r="C21" s="84" t="s">
        <v>479</v>
      </c>
      <c r="D21" s="84" t="str">
        <f>D20</f>
        <v>GO</v>
      </c>
      <c r="E21" s="84" t="s">
        <v>583</v>
      </c>
      <c r="F21" s="84"/>
      <c r="G21" s="92">
        <v>7.51E-2</v>
      </c>
      <c r="H21" s="92">
        <v>0.18</v>
      </c>
      <c r="I21" s="84"/>
      <c r="J21" s="97">
        <v>1.911</v>
      </c>
      <c r="K21" s="97">
        <v>4.57</v>
      </c>
      <c r="L21" s="84"/>
      <c r="M21" s="83"/>
      <c r="N21" s="133" t="str">
        <f t="shared" si="9"/>
        <v>.0751" - .180"</v>
      </c>
      <c r="O21" s="118" t="str">
        <f t="shared" si="10"/>
        <v>1.911 - 4.57mm</v>
      </c>
      <c r="P21" s="130" t="str">
        <f t="shared" ref="P21:P27" si="15">$C21</f>
        <v>2W</v>
      </c>
      <c r="Q21" s="126">
        <v>36.5</v>
      </c>
      <c r="T21" s="140" t="str">
        <f t="shared" si="11"/>
        <v>ASSY-X-2W-GO</v>
      </c>
      <c r="U21" s="140" t="str">
        <f t="shared" si="12"/>
        <v>ASSY-X-2W-NG</v>
      </c>
      <c r="V21" s="138"/>
      <c r="W21" s="123" t="str">
        <f t="shared" si="13"/>
        <v>ASSY-MM-X-2W-GO</v>
      </c>
      <c r="X21" s="123" t="str">
        <f t="shared" si="14"/>
        <v>ASSY-MM-X-2W-NG</v>
      </c>
    </row>
    <row r="22" spans="1:24" s="56" customFormat="1" ht="15.75" x14ac:dyDescent="0.25">
      <c r="A22" s="83"/>
      <c r="B22" s="98" t="str">
        <f t="shared" ref="B22:B27" si="16">B21</f>
        <v>X</v>
      </c>
      <c r="C22" s="84" t="s">
        <v>480</v>
      </c>
      <c r="D22" s="84" t="str">
        <f t="shared" ref="D22:D27" si="17">D21</f>
        <v>GO</v>
      </c>
      <c r="E22" s="84" t="s">
        <v>583</v>
      </c>
      <c r="F22" s="84"/>
      <c r="G22" s="92">
        <v>0.18010000000000001</v>
      </c>
      <c r="H22" s="92">
        <v>0.28100000000000003</v>
      </c>
      <c r="I22" s="84"/>
      <c r="J22" s="97">
        <v>4.5709999999999997</v>
      </c>
      <c r="K22" s="97">
        <v>7.14</v>
      </c>
      <c r="L22" s="84"/>
      <c r="M22" s="83"/>
      <c r="N22" s="132" t="str">
        <f t="shared" si="9"/>
        <v>.1801" - .281"</v>
      </c>
      <c r="O22" s="117" t="str">
        <f t="shared" si="10"/>
        <v>4.571 - 7.14mm</v>
      </c>
      <c r="P22" s="129" t="str">
        <f t="shared" si="15"/>
        <v>3W</v>
      </c>
      <c r="Q22" s="125">
        <v>39</v>
      </c>
      <c r="T22" s="140" t="str">
        <f t="shared" si="11"/>
        <v>ASSY-X-3W-GO</v>
      </c>
      <c r="U22" s="140" t="str">
        <f t="shared" si="12"/>
        <v>ASSY-X-3W-NG</v>
      </c>
      <c r="V22" s="138"/>
      <c r="W22" s="123" t="str">
        <f t="shared" si="13"/>
        <v>ASSY-MM-X-3W-GO</v>
      </c>
      <c r="X22" s="123" t="str">
        <f t="shared" si="14"/>
        <v>ASSY-MM-X-3W-NG</v>
      </c>
    </row>
    <row r="23" spans="1:24" s="56" customFormat="1" ht="15.75" x14ac:dyDescent="0.25">
      <c r="A23" s="83"/>
      <c r="B23" s="98" t="str">
        <f t="shared" si="16"/>
        <v>X</v>
      </c>
      <c r="C23" s="84" t="s">
        <v>481</v>
      </c>
      <c r="D23" s="84" t="str">
        <f t="shared" si="17"/>
        <v>GO</v>
      </c>
      <c r="E23" s="84" t="s">
        <v>583</v>
      </c>
      <c r="F23" s="84"/>
      <c r="G23" s="92">
        <v>0.28110000000000002</v>
      </c>
      <c r="H23" s="92">
        <v>0.40600000000000003</v>
      </c>
      <c r="I23" s="84"/>
      <c r="J23" s="97">
        <v>7.141</v>
      </c>
      <c r="K23" s="97">
        <v>10.31</v>
      </c>
      <c r="L23" s="84"/>
      <c r="M23" s="83"/>
      <c r="N23" s="133" t="str">
        <f t="shared" si="9"/>
        <v>.2811" - .406"</v>
      </c>
      <c r="O23" s="118" t="str">
        <f t="shared" si="10"/>
        <v>7.141 - 10.31mm</v>
      </c>
      <c r="P23" s="130" t="str">
        <f t="shared" si="15"/>
        <v>4W</v>
      </c>
      <c r="Q23" s="126">
        <v>41.25</v>
      </c>
      <c r="T23" s="140" t="str">
        <f t="shared" si="11"/>
        <v>ASSY-X-4W-GO</v>
      </c>
      <c r="U23" s="140" t="str">
        <f t="shared" si="12"/>
        <v>ASSY-X-4W-NG</v>
      </c>
      <c r="V23" s="138"/>
      <c r="W23" s="123" t="str">
        <f t="shared" si="13"/>
        <v>ASSY-MM-X-4W-GO</v>
      </c>
      <c r="X23" s="123" t="str">
        <f t="shared" si="14"/>
        <v>ASSY-MM-X-4W-NG</v>
      </c>
    </row>
    <row r="24" spans="1:24" s="56" customFormat="1" ht="15.75" x14ac:dyDescent="0.25">
      <c r="A24" s="83"/>
      <c r="B24" s="98" t="str">
        <f t="shared" si="16"/>
        <v>X</v>
      </c>
      <c r="C24" s="84" t="s">
        <v>482</v>
      </c>
      <c r="D24" s="84" t="str">
        <f t="shared" si="17"/>
        <v>GO</v>
      </c>
      <c r="E24" s="84" t="s">
        <v>583</v>
      </c>
      <c r="F24" s="84"/>
      <c r="G24" s="92">
        <v>0.40610000000000002</v>
      </c>
      <c r="H24" s="92">
        <v>0.51</v>
      </c>
      <c r="I24" s="84"/>
      <c r="J24" s="97">
        <v>10.311</v>
      </c>
      <c r="K24" s="97">
        <v>12.95</v>
      </c>
      <c r="L24" s="84"/>
      <c r="M24" s="83"/>
      <c r="N24" s="132" t="str">
        <f t="shared" si="9"/>
        <v>.4061" - .510"</v>
      </c>
      <c r="O24" s="117" t="str">
        <f t="shared" si="10"/>
        <v>10.311 - 12.95mm</v>
      </c>
      <c r="P24" s="129" t="str">
        <f t="shared" si="15"/>
        <v>5W</v>
      </c>
      <c r="Q24" s="125">
        <v>45</v>
      </c>
      <c r="T24" s="140" t="str">
        <f t="shared" si="11"/>
        <v>ASSY-X-5W-GO</v>
      </c>
      <c r="U24" s="140" t="str">
        <f t="shared" si="12"/>
        <v>ASSY-X-5W-NG</v>
      </c>
      <c r="V24" s="138"/>
      <c r="W24" s="123" t="str">
        <f t="shared" si="13"/>
        <v>ASSY-MM-X-5W-GO</v>
      </c>
      <c r="X24" s="123" t="str">
        <f t="shared" si="14"/>
        <v>ASSY-MM-X-5W-NG</v>
      </c>
    </row>
    <row r="25" spans="1:24" s="56" customFormat="1" ht="15.75" x14ac:dyDescent="0.25">
      <c r="A25" s="83"/>
      <c r="B25" s="98" t="str">
        <f t="shared" si="16"/>
        <v>X</v>
      </c>
      <c r="C25" s="84" t="s">
        <v>483</v>
      </c>
      <c r="D25" s="84" t="str">
        <f t="shared" si="17"/>
        <v>GO</v>
      </c>
      <c r="E25" s="84" t="s">
        <v>583</v>
      </c>
      <c r="F25" s="84"/>
      <c r="G25" s="92">
        <v>0.5101</v>
      </c>
      <c r="H25" s="92">
        <v>0.63500000000000001</v>
      </c>
      <c r="I25" s="84"/>
      <c r="J25" s="97">
        <v>12.951000000000001</v>
      </c>
      <c r="K25" s="97">
        <v>16.13</v>
      </c>
      <c r="L25" s="84"/>
      <c r="M25" s="83"/>
      <c r="N25" s="133" t="str">
        <f t="shared" si="9"/>
        <v>.5101" - .635"</v>
      </c>
      <c r="O25" s="118" t="str">
        <f t="shared" si="10"/>
        <v>12.951 - 16.13mm</v>
      </c>
      <c r="P25" s="130" t="str">
        <f t="shared" si="15"/>
        <v>6W</v>
      </c>
      <c r="Q25" s="126">
        <v>51.75</v>
      </c>
      <c r="T25" s="140" t="str">
        <f t="shared" si="11"/>
        <v>ASSY-X-6W-GO</v>
      </c>
      <c r="U25" s="140" t="str">
        <f t="shared" si="12"/>
        <v>ASSY-X-6W-NG</v>
      </c>
      <c r="V25" s="138"/>
      <c r="W25" s="123" t="str">
        <f t="shared" si="13"/>
        <v>ASSY-MM-X-6W-GO</v>
      </c>
      <c r="X25" s="123" t="str">
        <f t="shared" si="14"/>
        <v>ASSY-MM-X-6W-NG</v>
      </c>
    </row>
    <row r="26" spans="1:24" s="56" customFormat="1" ht="15.75" x14ac:dyDescent="0.25">
      <c r="A26" s="83"/>
      <c r="B26" s="98" t="str">
        <f t="shared" si="16"/>
        <v>X</v>
      </c>
      <c r="C26" s="84" t="s">
        <v>484</v>
      </c>
      <c r="D26" s="84" t="str">
        <f t="shared" si="17"/>
        <v>GO</v>
      </c>
      <c r="E26" s="84" t="s">
        <v>583</v>
      </c>
      <c r="F26" s="84"/>
      <c r="G26" s="92">
        <v>0.6351</v>
      </c>
      <c r="H26" s="92">
        <v>0.76</v>
      </c>
      <c r="I26" s="84"/>
      <c r="J26" s="97">
        <v>16.131</v>
      </c>
      <c r="K26" s="97">
        <v>19.3</v>
      </c>
      <c r="L26" s="84"/>
      <c r="M26" s="83"/>
      <c r="N26" s="132" t="str">
        <f t="shared" si="9"/>
        <v>.6351" - .760"</v>
      </c>
      <c r="O26" s="117" t="str">
        <f t="shared" si="10"/>
        <v>16.131 - 19.30mm</v>
      </c>
      <c r="P26" s="129" t="str">
        <f t="shared" si="15"/>
        <v>7W</v>
      </c>
      <c r="Q26" s="125">
        <v>61</v>
      </c>
      <c r="T26" s="140" t="str">
        <f t="shared" si="11"/>
        <v>ASSY-X-7W-GO</v>
      </c>
      <c r="U26" s="140" t="str">
        <f t="shared" si="12"/>
        <v>ASSY-X-7W-NG</v>
      </c>
      <c r="V26" s="138"/>
      <c r="W26" s="123" t="str">
        <f t="shared" si="13"/>
        <v>ASSY-MM-X-7W-GO</v>
      </c>
      <c r="X26" s="123" t="str">
        <f t="shared" si="14"/>
        <v>ASSY-MM-X-7W-NG</v>
      </c>
    </row>
    <row r="27" spans="1:24" s="56" customFormat="1" ht="16.5" thickBot="1" x14ac:dyDescent="0.3">
      <c r="A27" s="83"/>
      <c r="B27" s="98" t="str">
        <f t="shared" si="16"/>
        <v>X</v>
      </c>
      <c r="C27" s="84" t="s">
        <v>485</v>
      </c>
      <c r="D27" s="84" t="str">
        <f t="shared" si="17"/>
        <v>GO</v>
      </c>
      <c r="E27" s="84" t="s">
        <v>583</v>
      </c>
      <c r="F27" s="84"/>
      <c r="G27" s="92">
        <v>0.7601</v>
      </c>
      <c r="H27" s="92">
        <v>1</v>
      </c>
      <c r="I27" s="84"/>
      <c r="J27" s="97">
        <v>19.300999999999998</v>
      </c>
      <c r="K27" s="97">
        <v>25.41</v>
      </c>
      <c r="L27" s="84"/>
      <c r="M27" s="83"/>
      <c r="N27" s="134" t="str">
        <f t="shared" si="9"/>
        <v>.7601" - 1.000"</v>
      </c>
      <c r="O27" s="119" t="str">
        <f t="shared" si="10"/>
        <v>19.301 - 25.41mm</v>
      </c>
      <c r="P27" s="131" t="str">
        <f t="shared" si="15"/>
        <v>8W</v>
      </c>
      <c r="Q27" s="127">
        <v>73.25</v>
      </c>
      <c r="T27" s="140" t="str">
        <f t="shared" si="11"/>
        <v>ASSY-X-8W-GO</v>
      </c>
      <c r="U27" s="140" t="str">
        <f t="shared" si="12"/>
        <v>ASSY-X-8W-NG</v>
      </c>
      <c r="V27" s="138"/>
      <c r="W27" s="123" t="str">
        <f t="shared" si="13"/>
        <v>ASSY-MM-X-8W-GO</v>
      </c>
      <c r="X27" s="123" t="str">
        <f t="shared" si="14"/>
        <v>ASSY-MM-X-8W-NG</v>
      </c>
    </row>
    <row r="28" spans="1:24" s="56" customFormat="1" ht="15.75" x14ac:dyDescent="0.25">
      <c r="A28" s="83"/>
      <c r="B28" s="83"/>
      <c r="C28" s="84"/>
      <c r="D28" s="84"/>
      <c r="E28" s="84"/>
      <c r="F28" s="84"/>
      <c r="G28" s="94"/>
      <c r="H28" s="94"/>
      <c r="I28" s="84"/>
      <c r="J28" s="99"/>
      <c r="K28" s="99"/>
      <c r="L28" s="84"/>
      <c r="M28" s="83"/>
      <c r="N28" s="120"/>
      <c r="O28" s="121"/>
      <c r="P28" s="121"/>
      <c r="Q28" s="79"/>
      <c r="W28" s="64"/>
    </row>
    <row r="29" spans="1:24" s="56" customFormat="1" ht="16.5" thickBot="1" x14ac:dyDescent="0.3">
      <c r="A29" s="83"/>
      <c r="B29" s="83"/>
      <c r="C29" s="84"/>
      <c r="D29" s="84"/>
      <c r="E29" s="84"/>
      <c r="F29" s="84"/>
      <c r="G29" s="100"/>
      <c r="H29" s="100"/>
      <c r="I29" s="84"/>
      <c r="J29" s="95"/>
      <c r="K29" s="95"/>
      <c r="L29" s="84"/>
      <c r="M29" s="83"/>
      <c r="N29" s="120"/>
      <c r="O29" s="121"/>
      <c r="P29" s="121"/>
      <c r="Q29" s="122"/>
      <c r="W29" s="64"/>
    </row>
    <row r="30" spans="1:24" s="56" customFormat="1" ht="15.75" x14ac:dyDescent="0.25">
      <c r="A30" s="83"/>
      <c r="B30" s="83"/>
      <c r="C30" s="84"/>
      <c r="D30" s="84"/>
      <c r="E30" s="84"/>
      <c r="F30" s="84"/>
      <c r="G30" s="100"/>
      <c r="H30" s="100"/>
      <c r="I30" s="84"/>
      <c r="J30" s="95"/>
      <c r="K30" s="95"/>
      <c r="L30" s="84"/>
      <c r="M30" s="83"/>
      <c r="N30" s="81" t="s">
        <v>557</v>
      </c>
      <c r="O30" s="81"/>
      <c r="P30" s="81"/>
      <c r="Q30" s="82"/>
      <c r="W30" s="64"/>
    </row>
    <row r="31" spans="1:24" s="56" customFormat="1" ht="15.75" x14ac:dyDescent="0.25">
      <c r="A31" s="83"/>
      <c r="B31" s="83"/>
      <c r="C31" s="84"/>
      <c r="D31" s="84"/>
      <c r="E31" s="84"/>
      <c r="F31" s="84"/>
      <c r="G31" s="100"/>
      <c r="H31" s="100"/>
      <c r="I31" s="84"/>
      <c r="J31" s="95"/>
      <c r="K31" s="95"/>
      <c r="L31" s="84"/>
      <c r="M31" s="83"/>
      <c r="N31" s="115" t="s">
        <v>3</v>
      </c>
      <c r="O31" s="116" t="s">
        <v>3</v>
      </c>
      <c r="P31" s="128" t="s">
        <v>399</v>
      </c>
      <c r="Q31" s="124" t="s">
        <v>573</v>
      </c>
      <c r="T31" s="141" t="s">
        <v>188</v>
      </c>
      <c r="U31" s="141" t="s">
        <v>215</v>
      </c>
      <c r="V31" s="138"/>
      <c r="W31" s="141" t="s">
        <v>188</v>
      </c>
      <c r="X31" s="141" t="s">
        <v>215</v>
      </c>
    </row>
    <row r="32" spans="1:24" s="56" customFormat="1" ht="15.75" x14ac:dyDescent="0.25">
      <c r="A32" s="83"/>
      <c r="B32" s="96" t="s">
        <v>198</v>
      </c>
      <c r="C32" s="84" t="s">
        <v>478</v>
      </c>
      <c r="D32" s="89" t="s">
        <v>188</v>
      </c>
      <c r="E32" s="89" t="s">
        <v>583</v>
      </c>
      <c r="F32" s="89"/>
      <c r="G32" s="94">
        <f>G$20</f>
        <v>5.0000000000000001E-3</v>
      </c>
      <c r="H32" s="100">
        <f>H$20</f>
        <v>7.4999999999999997E-2</v>
      </c>
      <c r="I32" s="89"/>
      <c r="J32" s="101">
        <f>J$20</f>
        <v>0.22</v>
      </c>
      <c r="K32" s="101">
        <f>K$20</f>
        <v>1.91</v>
      </c>
      <c r="L32" s="89"/>
      <c r="M32" s="83"/>
      <c r="N32" s="132" t="str">
        <f t="shared" ref="N32:N39" si="18">_xlfn.CONCAT(TEXT($G32,"#.000#"),""""," - ",TEXT($H32,"#.000#"),"""")</f>
        <v>.005" - .075"</v>
      </c>
      <c r="O32" s="117" t="str">
        <f t="shared" ref="O32:O39" si="19">_xlfn.CONCAT(TEXT($J32,"#.00#")," - ",TEXT($K32,"0.00#"),"mm")</f>
        <v>.22 - 1.91mm</v>
      </c>
      <c r="P32" s="129" t="str">
        <f>$C32</f>
        <v>1W</v>
      </c>
      <c r="Q32" s="125">
        <v>63</v>
      </c>
      <c r="T32" s="140" t="str">
        <f t="shared" ref="T32:T39" si="20">_xlfn.CONCAT($C$4,"-",$B32,"-",$C32,"-",$D32)</f>
        <v>ASSY-XX-1W-GO</v>
      </c>
      <c r="U32" s="140" t="str">
        <f t="shared" ref="U32:U39" si="21">_xlfn.CONCAT($C$4,"-",$B32,"-",$C32,"-",$E32)</f>
        <v>ASSY-XX-1W-NG</v>
      </c>
      <c r="V32" s="138"/>
      <c r="W32" s="123" t="str">
        <f t="shared" ref="W32:W39" si="22">_xlfn.CONCAT($C$4,"-",$D$4,"-",$B32,"-",$C32,"-",$D32)</f>
        <v>ASSY-MM-XX-1W-GO</v>
      </c>
      <c r="X32" s="123" t="str">
        <f t="shared" ref="X32:X39" si="23">_xlfn.CONCAT($C$4,"-",$D$4,"-",$B32,"-",$C32,"-",$E32)</f>
        <v>ASSY-MM-XX-1W-NG</v>
      </c>
    </row>
    <row r="33" spans="1:24" s="56" customFormat="1" ht="15.75" x14ac:dyDescent="0.25">
      <c r="A33" s="83"/>
      <c r="B33" s="98" t="str">
        <f>B32</f>
        <v>XX</v>
      </c>
      <c r="C33" s="84" t="s">
        <v>479</v>
      </c>
      <c r="D33" s="84" t="str">
        <f>D32</f>
        <v>GO</v>
      </c>
      <c r="E33" s="84" t="s">
        <v>583</v>
      </c>
      <c r="F33" s="84"/>
      <c r="G33" s="100">
        <f>G$21</f>
        <v>7.51E-2</v>
      </c>
      <c r="H33" s="100">
        <f>H$21</f>
        <v>0.18</v>
      </c>
      <c r="I33" s="84"/>
      <c r="J33" s="101">
        <f>J$21</f>
        <v>1.911</v>
      </c>
      <c r="K33" s="101">
        <f>K$21</f>
        <v>4.57</v>
      </c>
      <c r="L33" s="84"/>
      <c r="M33" s="83"/>
      <c r="N33" s="133" t="str">
        <f t="shared" si="18"/>
        <v>.0751" - .180"</v>
      </c>
      <c r="O33" s="118" t="str">
        <f t="shared" si="19"/>
        <v>1.911 - 4.57mm</v>
      </c>
      <c r="P33" s="130" t="str">
        <f t="shared" ref="P33:P39" si="24">$C33</f>
        <v>2W</v>
      </c>
      <c r="Q33" s="126">
        <v>65.5</v>
      </c>
      <c r="T33" s="140" t="str">
        <f t="shared" si="20"/>
        <v>ASSY-XX-2W-GO</v>
      </c>
      <c r="U33" s="140" t="str">
        <f t="shared" si="21"/>
        <v>ASSY-XX-2W-NG</v>
      </c>
      <c r="V33" s="138"/>
      <c r="W33" s="123" t="str">
        <f t="shared" si="22"/>
        <v>ASSY-MM-XX-2W-GO</v>
      </c>
      <c r="X33" s="123" t="str">
        <f t="shared" si="23"/>
        <v>ASSY-MM-XX-2W-NG</v>
      </c>
    </row>
    <row r="34" spans="1:24" s="56" customFormat="1" ht="15.75" x14ac:dyDescent="0.25">
      <c r="A34" s="83"/>
      <c r="B34" s="98" t="str">
        <f t="shared" ref="B34:B39" si="25">B33</f>
        <v>XX</v>
      </c>
      <c r="C34" s="84" t="s">
        <v>480</v>
      </c>
      <c r="D34" s="84" t="str">
        <f t="shared" ref="D34:D39" si="26">D33</f>
        <v>GO</v>
      </c>
      <c r="E34" s="84" t="s">
        <v>583</v>
      </c>
      <c r="F34" s="84"/>
      <c r="G34" s="100">
        <f>G$22</f>
        <v>0.18010000000000001</v>
      </c>
      <c r="H34" s="100">
        <f>H$22</f>
        <v>0.28100000000000003</v>
      </c>
      <c r="I34" s="84"/>
      <c r="J34" s="101">
        <f>J$22</f>
        <v>4.5709999999999997</v>
      </c>
      <c r="K34" s="101">
        <f>K$22</f>
        <v>7.14</v>
      </c>
      <c r="L34" s="84"/>
      <c r="M34" s="83"/>
      <c r="N34" s="132" t="str">
        <f t="shared" si="18"/>
        <v>.1801" - .281"</v>
      </c>
      <c r="O34" s="117" t="str">
        <f t="shared" si="19"/>
        <v>4.571 - 7.14mm</v>
      </c>
      <c r="P34" s="129" t="str">
        <f t="shared" si="24"/>
        <v>3W</v>
      </c>
      <c r="Q34" s="125">
        <v>70.75</v>
      </c>
      <c r="T34" s="140" t="str">
        <f t="shared" si="20"/>
        <v>ASSY-XX-3W-GO</v>
      </c>
      <c r="U34" s="140" t="str">
        <f t="shared" si="21"/>
        <v>ASSY-XX-3W-NG</v>
      </c>
      <c r="V34" s="138"/>
      <c r="W34" s="123" t="str">
        <f t="shared" si="22"/>
        <v>ASSY-MM-XX-3W-GO</v>
      </c>
      <c r="X34" s="123" t="str">
        <f t="shared" si="23"/>
        <v>ASSY-MM-XX-3W-NG</v>
      </c>
    </row>
    <row r="35" spans="1:24" s="56" customFormat="1" ht="15.75" x14ac:dyDescent="0.25">
      <c r="A35" s="83"/>
      <c r="B35" s="98" t="str">
        <f t="shared" si="25"/>
        <v>XX</v>
      </c>
      <c r="C35" s="84" t="s">
        <v>481</v>
      </c>
      <c r="D35" s="84" t="str">
        <f t="shared" si="26"/>
        <v>GO</v>
      </c>
      <c r="E35" s="84" t="s">
        <v>583</v>
      </c>
      <c r="F35" s="84"/>
      <c r="G35" s="100">
        <f>G$23</f>
        <v>0.28110000000000002</v>
      </c>
      <c r="H35" s="100">
        <f>H$23</f>
        <v>0.40600000000000003</v>
      </c>
      <c r="I35" s="84"/>
      <c r="J35" s="101">
        <f>J$23</f>
        <v>7.141</v>
      </c>
      <c r="K35" s="101">
        <f>K$23</f>
        <v>10.31</v>
      </c>
      <c r="L35" s="84"/>
      <c r="M35" s="83"/>
      <c r="N35" s="133" t="str">
        <f t="shared" si="18"/>
        <v>.2811" - .406"</v>
      </c>
      <c r="O35" s="118" t="str">
        <f t="shared" si="19"/>
        <v>7.141 - 10.31mm</v>
      </c>
      <c r="P35" s="130" t="str">
        <f t="shared" si="24"/>
        <v>4W</v>
      </c>
      <c r="Q35" s="126">
        <v>73</v>
      </c>
      <c r="T35" s="140" t="str">
        <f t="shared" si="20"/>
        <v>ASSY-XX-4W-GO</v>
      </c>
      <c r="U35" s="140" t="str">
        <f t="shared" si="21"/>
        <v>ASSY-XX-4W-NG</v>
      </c>
      <c r="V35" s="138"/>
      <c r="W35" s="123" t="str">
        <f t="shared" si="22"/>
        <v>ASSY-MM-XX-4W-GO</v>
      </c>
      <c r="X35" s="123" t="str">
        <f t="shared" si="23"/>
        <v>ASSY-MM-XX-4W-NG</v>
      </c>
    </row>
    <row r="36" spans="1:24" s="56" customFormat="1" ht="15.75" x14ac:dyDescent="0.25">
      <c r="A36" s="83"/>
      <c r="B36" s="98" t="str">
        <f t="shared" si="25"/>
        <v>XX</v>
      </c>
      <c r="C36" s="84" t="s">
        <v>482</v>
      </c>
      <c r="D36" s="84" t="str">
        <f t="shared" si="26"/>
        <v>GO</v>
      </c>
      <c r="E36" s="84" t="s">
        <v>583</v>
      </c>
      <c r="F36" s="84"/>
      <c r="G36" s="100">
        <f>G$24</f>
        <v>0.40610000000000002</v>
      </c>
      <c r="H36" s="100">
        <f>H$24</f>
        <v>0.51</v>
      </c>
      <c r="I36" s="84"/>
      <c r="J36" s="101">
        <f>J$24</f>
        <v>10.311</v>
      </c>
      <c r="K36" s="101">
        <f>K$24</f>
        <v>12.95</v>
      </c>
      <c r="L36" s="84"/>
      <c r="M36" s="83"/>
      <c r="N36" s="132" t="str">
        <f t="shared" si="18"/>
        <v>.4061" - .510"</v>
      </c>
      <c r="O36" s="117" t="str">
        <f t="shared" si="19"/>
        <v>10.311 - 12.95mm</v>
      </c>
      <c r="P36" s="129" t="str">
        <f t="shared" si="24"/>
        <v>5W</v>
      </c>
      <c r="Q36" s="125">
        <v>78.25</v>
      </c>
      <c r="T36" s="140" t="str">
        <f t="shared" si="20"/>
        <v>ASSY-XX-5W-GO</v>
      </c>
      <c r="U36" s="140" t="str">
        <f t="shared" si="21"/>
        <v>ASSY-XX-5W-NG</v>
      </c>
      <c r="V36" s="138"/>
      <c r="W36" s="123" t="str">
        <f t="shared" si="22"/>
        <v>ASSY-MM-XX-5W-GO</v>
      </c>
      <c r="X36" s="123" t="str">
        <f t="shared" si="23"/>
        <v>ASSY-MM-XX-5W-NG</v>
      </c>
    </row>
    <row r="37" spans="1:24" s="56" customFormat="1" ht="15.75" x14ac:dyDescent="0.25">
      <c r="A37" s="83"/>
      <c r="B37" s="98" t="str">
        <f t="shared" si="25"/>
        <v>XX</v>
      </c>
      <c r="C37" s="84" t="s">
        <v>483</v>
      </c>
      <c r="D37" s="84" t="str">
        <f t="shared" si="26"/>
        <v>GO</v>
      </c>
      <c r="E37" s="84" t="s">
        <v>583</v>
      </c>
      <c r="F37" s="84"/>
      <c r="G37" s="100">
        <f>G$25</f>
        <v>0.5101</v>
      </c>
      <c r="H37" s="100">
        <f>H$25</f>
        <v>0.63500000000000001</v>
      </c>
      <c r="I37" s="84"/>
      <c r="J37" s="101">
        <f>J$25</f>
        <v>12.951000000000001</v>
      </c>
      <c r="K37" s="101">
        <f>K$25</f>
        <v>16.13</v>
      </c>
      <c r="L37" s="84"/>
      <c r="M37" s="83"/>
      <c r="N37" s="133" t="str">
        <f t="shared" si="18"/>
        <v>.5101" - .635"</v>
      </c>
      <c r="O37" s="118" t="str">
        <f t="shared" si="19"/>
        <v>12.951 - 16.13mm</v>
      </c>
      <c r="P37" s="130" t="str">
        <f t="shared" si="24"/>
        <v>6W</v>
      </c>
      <c r="Q37" s="126">
        <v>88.75</v>
      </c>
      <c r="T37" s="140" t="str">
        <f t="shared" si="20"/>
        <v>ASSY-XX-6W-GO</v>
      </c>
      <c r="U37" s="140" t="str">
        <f t="shared" si="21"/>
        <v>ASSY-XX-6W-NG</v>
      </c>
      <c r="V37" s="138"/>
      <c r="W37" s="123" t="str">
        <f t="shared" si="22"/>
        <v>ASSY-MM-XX-6W-GO</v>
      </c>
      <c r="X37" s="123" t="str">
        <f t="shared" si="23"/>
        <v>ASSY-MM-XX-6W-NG</v>
      </c>
    </row>
    <row r="38" spans="1:24" s="56" customFormat="1" ht="15.75" x14ac:dyDescent="0.25">
      <c r="A38" s="83"/>
      <c r="B38" s="98" t="str">
        <f t="shared" si="25"/>
        <v>XX</v>
      </c>
      <c r="C38" s="84" t="s">
        <v>484</v>
      </c>
      <c r="D38" s="84" t="str">
        <f t="shared" si="26"/>
        <v>GO</v>
      </c>
      <c r="E38" s="84" t="s">
        <v>583</v>
      </c>
      <c r="F38" s="84"/>
      <c r="G38" s="100">
        <f>G$26</f>
        <v>0.6351</v>
      </c>
      <c r="H38" s="100">
        <f>H$26</f>
        <v>0.76</v>
      </c>
      <c r="I38" s="84"/>
      <c r="J38" s="101">
        <f>J$26</f>
        <v>16.131</v>
      </c>
      <c r="K38" s="101">
        <f>K$26</f>
        <v>19.3</v>
      </c>
      <c r="L38" s="84"/>
      <c r="M38" s="83"/>
      <c r="N38" s="132" t="str">
        <f t="shared" si="18"/>
        <v>.6351" - .760"</v>
      </c>
      <c r="O38" s="117" t="str">
        <f t="shared" si="19"/>
        <v>16.131 - 19.30mm</v>
      </c>
      <c r="P38" s="129" t="str">
        <f t="shared" si="24"/>
        <v>7W</v>
      </c>
      <c r="Q38" s="125">
        <v>94.5</v>
      </c>
      <c r="T38" s="140" t="str">
        <f t="shared" si="20"/>
        <v>ASSY-XX-7W-GO</v>
      </c>
      <c r="U38" s="140" t="str">
        <f t="shared" si="21"/>
        <v>ASSY-XX-7W-NG</v>
      </c>
      <c r="V38" s="138"/>
      <c r="W38" s="123" t="str">
        <f t="shared" si="22"/>
        <v>ASSY-MM-XX-7W-GO</v>
      </c>
      <c r="X38" s="123" t="str">
        <f t="shared" si="23"/>
        <v>ASSY-MM-XX-7W-NG</v>
      </c>
    </row>
    <row r="39" spans="1:24" s="56" customFormat="1" ht="16.5" thickBot="1" x14ac:dyDescent="0.3">
      <c r="A39" s="83"/>
      <c r="B39" s="98" t="str">
        <f t="shared" si="25"/>
        <v>XX</v>
      </c>
      <c r="C39" s="84" t="s">
        <v>485</v>
      </c>
      <c r="D39" s="84" t="str">
        <f t="shared" si="26"/>
        <v>GO</v>
      </c>
      <c r="E39" s="84" t="s">
        <v>583</v>
      </c>
      <c r="F39" s="84"/>
      <c r="G39" s="100">
        <f>G$27</f>
        <v>0.7601</v>
      </c>
      <c r="H39" s="100">
        <f>H$27</f>
        <v>1</v>
      </c>
      <c r="I39" s="84"/>
      <c r="J39" s="101">
        <f>J$27</f>
        <v>19.300999999999998</v>
      </c>
      <c r="K39" s="101">
        <f>K$27</f>
        <v>25.41</v>
      </c>
      <c r="L39" s="84"/>
      <c r="M39" s="83"/>
      <c r="N39" s="134" t="str">
        <f t="shared" si="18"/>
        <v>.7601" - 1.000"</v>
      </c>
      <c r="O39" s="119" t="str">
        <f t="shared" si="19"/>
        <v>19.301 - 25.41mm</v>
      </c>
      <c r="P39" s="131" t="str">
        <f t="shared" si="24"/>
        <v>8W</v>
      </c>
      <c r="Q39" s="127">
        <v>136.5</v>
      </c>
      <c r="T39" s="140" t="str">
        <f t="shared" si="20"/>
        <v>ASSY-XX-8W-GO</v>
      </c>
      <c r="U39" s="140" t="str">
        <f t="shared" si="21"/>
        <v>ASSY-XX-8W-NG</v>
      </c>
      <c r="V39" s="138"/>
      <c r="W39" s="123" t="str">
        <f t="shared" si="22"/>
        <v>ASSY-MM-XX-8W-GO</v>
      </c>
      <c r="X39" s="123" t="str">
        <f t="shared" si="23"/>
        <v>ASSY-MM-XX-8W-NG</v>
      </c>
    </row>
    <row r="40" spans="1:24" s="56" customFormat="1" x14ac:dyDescent="0.25">
      <c r="A40" s="83"/>
      <c r="B40" s="83"/>
      <c r="C40" s="84"/>
      <c r="D40" s="84"/>
      <c r="E40" s="84"/>
      <c r="F40" s="84"/>
      <c r="G40" s="100"/>
      <c r="H40" s="100"/>
      <c r="I40" s="84"/>
      <c r="J40" s="101"/>
      <c r="K40" s="101"/>
      <c r="L40" s="84"/>
      <c r="M40" s="83"/>
      <c r="N40" s="83"/>
      <c r="O40" s="57"/>
      <c r="P40" s="57"/>
      <c r="Q40" s="93"/>
      <c r="W40" s="64"/>
    </row>
  </sheetData>
  <pageMargins left="0.7" right="0.7" top="0.75" bottom="0.75" header="0.3" footer="0.3"/>
  <pageSetup scale="1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F56F3-9B8F-40B0-9D48-9BFD2020665C}">
  <sheetPr codeName="Sheet15">
    <outlinePr summaryBelow="0"/>
    <pageSetUpPr autoPageBreaks="0" fitToPage="1"/>
  </sheetPr>
  <dimension ref="A1:BH64"/>
  <sheetViews>
    <sheetView showGridLines="0" topLeftCell="AH1" zoomScale="90" zoomScaleNormal="90" workbookViewId="0">
      <selection activeCell="AI80" sqref="AI79:AI80"/>
    </sheetView>
  </sheetViews>
  <sheetFormatPr defaultColWidth="8.85546875" defaultRowHeight="15" outlineLevelRow="1" outlineLevelCol="2" x14ac:dyDescent="0.25"/>
  <cols>
    <col min="1" max="2" width="1.7109375" customWidth="1"/>
    <col min="3" max="4" width="9" style="83" hidden="1" customWidth="1" outlineLevel="1"/>
    <col min="5" max="5" width="2.7109375" style="84" hidden="1" customWidth="1" outlineLevel="1"/>
    <col min="6" max="7" width="10.5703125" style="83" hidden="1" customWidth="1" outlineLevel="1"/>
    <col min="8" max="8" width="1.7109375" style="84" hidden="1" customWidth="1" outlineLevel="1"/>
    <col min="9" max="10" width="11.85546875" style="83" hidden="1" customWidth="1" outlineLevel="1"/>
    <col min="11" max="11" width="1.7109375" hidden="1" customWidth="1" outlineLevel="1"/>
    <col min="12" max="12" width="18.28515625" hidden="1" customWidth="1" outlineLevel="2"/>
    <col min="13" max="13" width="19.7109375" hidden="1" customWidth="1" outlineLevel="2"/>
    <col min="14" max="14" width="2.7109375" hidden="1" customWidth="1" outlineLevel="2"/>
    <col min="15" max="16" width="20.42578125" hidden="1" customWidth="1" outlineLevel="2"/>
    <col min="17" max="17" width="2.7109375" hidden="1" customWidth="1" outlineLevel="2"/>
    <col min="18" max="18" width="11.28515625" hidden="1" customWidth="1" outlineLevel="1" collapsed="1"/>
    <col min="19" max="19" width="10" hidden="1" customWidth="1" outlineLevel="1"/>
    <col min="20" max="20" width="10.28515625" hidden="1" customWidth="1" outlineLevel="1"/>
    <col min="21" max="21" width="10.7109375" hidden="1" customWidth="1" outlineLevel="1"/>
    <col min="22" max="22" width="1.7109375" hidden="1" customWidth="1" outlineLevel="1"/>
    <col min="23" max="24" width="10.7109375" hidden="1" customWidth="1" outlineLevel="1"/>
    <col min="25" max="25" width="1.7109375" hidden="1" customWidth="1" outlineLevel="1"/>
    <col min="26" max="26" width="11.85546875" hidden="1" customWidth="1" outlineLevel="1"/>
    <col min="27" max="29" width="10.7109375" hidden="1" customWidth="1" outlineLevel="1"/>
    <col min="30" max="30" width="1.7109375" style="84" hidden="1" customWidth="1" outlineLevel="1"/>
    <col min="31" max="32" width="10.28515625" style="84" hidden="1" customWidth="1" outlineLevel="1"/>
    <col min="33" max="33" width="1.7109375" style="84" hidden="1" customWidth="1" outlineLevel="1"/>
    <col min="34" max="34" width="2.7109375" style="83" customWidth="1" collapsed="1"/>
    <col min="35" max="36" width="20.140625" style="83" customWidth="1"/>
    <col min="37" max="37" width="16.28515625" style="83" customWidth="1"/>
    <col min="38" max="39" width="18.7109375" style="83" customWidth="1"/>
    <col min="40" max="41" width="16.7109375" customWidth="1"/>
    <col min="42" max="49" width="16.7109375" style="56" customWidth="1"/>
    <col min="50" max="53" width="16.7109375" style="83" customWidth="1"/>
    <col min="54" max="16384" width="8.85546875" style="83"/>
  </cols>
  <sheetData>
    <row r="1" spans="1:60" ht="5.0999999999999996" customHeight="1" x14ac:dyDescent="0.25"/>
    <row r="2" spans="1:60" s="56" customFormat="1" ht="21" collapsed="1" x14ac:dyDescent="0.35">
      <c r="A2"/>
      <c r="B2"/>
      <c r="C2" s="83"/>
      <c r="D2" s="86"/>
      <c r="E2" s="84"/>
      <c r="F2" s="83"/>
      <c r="G2" s="83"/>
      <c r="H2" s="84"/>
      <c r="I2" s="83"/>
      <c r="J2" s="83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 s="84"/>
      <c r="AE2" s="84"/>
      <c r="AF2" s="84"/>
      <c r="AG2" s="84"/>
      <c r="AH2" s="83"/>
      <c r="AI2" s="114" t="s">
        <v>611</v>
      </c>
      <c r="AJ2" s="114"/>
      <c r="AK2" s="41"/>
      <c r="AL2" s="88"/>
      <c r="AM2" s="83"/>
      <c r="AN2"/>
      <c r="AO2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</row>
    <row r="3" spans="1:60" s="508" customFormat="1" ht="15.75" hidden="1" outlineLevel="1" x14ac:dyDescent="0.25">
      <c r="A3"/>
      <c r="B3"/>
      <c r="J3" s="8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 s="84"/>
      <c r="AE3" s="84"/>
      <c r="AF3" s="84"/>
      <c r="AG3" s="84"/>
      <c r="AH3" s="83"/>
      <c r="AI3" s="507"/>
      <c r="AJ3" s="507"/>
      <c r="AK3" s="1067" t="s">
        <v>744</v>
      </c>
      <c r="AL3" s="1067"/>
      <c r="AM3" s="83"/>
      <c r="AN3" s="281"/>
      <c r="AO3" s="281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</row>
    <row r="4" spans="1:60" s="508" customFormat="1" hidden="1" outlineLevel="1" x14ac:dyDescent="0.25">
      <c r="A4"/>
      <c r="B4"/>
      <c r="C4" s="743" t="s">
        <v>893</v>
      </c>
      <c r="D4" s="743" t="s">
        <v>894</v>
      </c>
      <c r="I4" s="743" t="s">
        <v>893</v>
      </c>
      <c r="J4" s="743" t="s">
        <v>894</v>
      </c>
      <c r="K4"/>
      <c r="L4"/>
      <c r="M4"/>
      <c r="N4"/>
      <c r="O4"/>
      <c r="P4"/>
      <c r="Q4"/>
      <c r="T4"/>
      <c r="U4"/>
      <c r="V4"/>
      <c r="W4"/>
      <c r="X4"/>
      <c r="Y4"/>
      <c r="AB4"/>
      <c r="AC4"/>
      <c r="AD4" s="84"/>
      <c r="AE4" s="84"/>
      <c r="AF4" s="84"/>
      <c r="AG4" s="84"/>
      <c r="AH4" s="83"/>
      <c r="AI4" s="507"/>
      <c r="AJ4" s="507"/>
      <c r="AK4"/>
      <c r="AL4"/>
      <c r="AM4" s="83"/>
      <c r="AN4" s="281"/>
      <c r="AO4" s="281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</row>
    <row r="5" spans="1:60" s="508" customFormat="1" hidden="1" outlineLevel="1" x14ac:dyDescent="0.25">
      <c r="A5"/>
      <c r="B5"/>
      <c r="C5"/>
      <c r="D5"/>
      <c r="K5"/>
      <c r="L5"/>
      <c r="M5"/>
      <c r="N5"/>
      <c r="O5"/>
      <c r="P5"/>
      <c r="Q5"/>
      <c r="T5"/>
      <c r="U5"/>
      <c r="V5"/>
      <c r="W5"/>
      <c r="X5"/>
      <c r="Y5"/>
      <c r="AB5"/>
      <c r="AC5"/>
      <c r="AD5" s="84"/>
      <c r="AE5" s="84"/>
      <c r="AF5" s="84"/>
      <c r="AG5" s="84"/>
      <c r="AH5" s="83"/>
      <c r="AI5" s="507"/>
      <c r="AJ5" s="507"/>
      <c r="AK5"/>
      <c r="AL5"/>
      <c r="AM5" s="83"/>
      <c r="AN5" s="281"/>
      <c r="AO5" s="281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</row>
    <row r="6" spans="1:60" s="508" customFormat="1" hidden="1" outlineLevel="1" x14ac:dyDescent="0.25">
      <c r="A6"/>
      <c r="B6"/>
      <c r="C6" s="2">
        <v>220</v>
      </c>
      <c r="D6" s="2" t="s">
        <v>842</v>
      </c>
      <c r="I6" s="2">
        <v>225</v>
      </c>
      <c r="J6" s="2" t="s">
        <v>843</v>
      </c>
      <c r="T6" s="13"/>
      <c r="U6" s="13"/>
      <c r="V6" s="13"/>
      <c r="W6" s="13"/>
      <c r="X6" s="13"/>
      <c r="Y6" s="13"/>
      <c r="AB6" s="13"/>
      <c r="AC6"/>
      <c r="AD6"/>
      <c r="AE6"/>
      <c r="AF6"/>
      <c r="AG6"/>
      <c r="AH6"/>
      <c r="AI6" s="507"/>
      <c r="AJ6" s="507"/>
      <c r="AK6"/>
      <c r="AL6"/>
      <c r="AM6" s="83"/>
      <c r="AN6" s="281"/>
      <c r="AO6" s="281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</row>
    <row r="7" spans="1:60" s="508" customFormat="1" hidden="1" outlineLevel="1" x14ac:dyDescent="0.25">
      <c r="A7"/>
      <c r="B7"/>
      <c r="C7" s="2">
        <v>230</v>
      </c>
      <c r="D7" s="2" t="s">
        <v>844</v>
      </c>
      <c r="I7" s="2">
        <v>235</v>
      </c>
      <c r="J7" s="2" t="s">
        <v>845</v>
      </c>
      <c r="K7"/>
      <c r="L7"/>
      <c r="M7"/>
      <c r="N7"/>
      <c r="O7"/>
      <c r="P7"/>
      <c r="Q7"/>
      <c r="T7" s="13"/>
      <c r="U7" s="13"/>
      <c r="V7" s="13"/>
      <c r="W7" s="13"/>
      <c r="X7" s="13"/>
      <c r="Y7" s="13"/>
      <c r="AB7" s="13"/>
      <c r="AC7"/>
      <c r="AD7" s="84"/>
      <c r="AE7" s="84"/>
      <c r="AF7" s="84"/>
      <c r="AG7" s="84"/>
      <c r="AH7" s="83"/>
      <c r="AI7" s="507"/>
      <c r="AJ7" s="507"/>
      <c r="AK7"/>
      <c r="AL7"/>
      <c r="AM7" s="83"/>
      <c r="AN7" s="281"/>
      <c r="AO7" s="281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</row>
    <row r="8" spans="1:60" s="508" customFormat="1" hidden="1" outlineLevel="1" x14ac:dyDescent="0.25">
      <c r="A8"/>
      <c r="B8"/>
      <c r="C8" s="2">
        <v>236</v>
      </c>
      <c r="D8" s="2" t="s">
        <v>846</v>
      </c>
      <c r="I8" s="2">
        <v>237</v>
      </c>
      <c r="J8" s="2" t="s">
        <v>847</v>
      </c>
      <c r="K8"/>
      <c r="L8"/>
      <c r="M8"/>
      <c r="N8"/>
      <c r="O8"/>
      <c r="P8"/>
      <c r="Q8"/>
      <c r="T8" s="13"/>
      <c r="U8" s="13"/>
      <c r="V8" s="13"/>
      <c r="W8" s="13"/>
      <c r="X8" s="13"/>
      <c r="Y8" s="13"/>
      <c r="AB8" s="13"/>
      <c r="AC8"/>
      <c r="AD8" s="84"/>
      <c r="AE8" s="84"/>
      <c r="AF8" s="84"/>
      <c r="AG8" s="84"/>
      <c r="AH8" s="83"/>
      <c r="AI8" s="507"/>
      <c r="AJ8" s="507"/>
      <c r="AK8"/>
      <c r="AL8"/>
      <c r="AM8" s="83"/>
      <c r="AN8" s="281"/>
      <c r="AO8" s="281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</row>
    <row r="9" spans="1:60" s="508" customFormat="1" hidden="1" outlineLevel="1" x14ac:dyDescent="0.25">
      <c r="A9"/>
      <c r="B9"/>
      <c r="C9" s="13"/>
      <c r="D9" s="13"/>
      <c r="I9" s="13"/>
      <c r="J9" s="13"/>
      <c r="K9"/>
      <c r="L9"/>
      <c r="M9"/>
      <c r="N9"/>
      <c r="O9"/>
      <c r="P9"/>
      <c r="Q9"/>
      <c r="T9" s="13"/>
      <c r="U9" s="13"/>
      <c r="V9" s="13"/>
      <c r="W9" s="13"/>
      <c r="X9" s="13"/>
      <c r="Y9" s="13"/>
      <c r="AB9" s="13"/>
      <c r="AC9"/>
      <c r="AD9" s="84"/>
      <c r="AE9" s="84"/>
      <c r="AF9" s="84"/>
      <c r="AG9" s="84"/>
      <c r="AH9" s="83"/>
      <c r="AI9" s="507"/>
      <c r="AJ9" s="507"/>
      <c r="AK9"/>
      <c r="AL9"/>
      <c r="AM9" s="83"/>
      <c r="AN9" s="281"/>
      <c r="AO9" s="281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</row>
    <row r="10" spans="1:60" s="508" customFormat="1" hidden="1" outlineLevel="1" x14ac:dyDescent="0.25">
      <c r="A10"/>
      <c r="B10"/>
      <c r="C10" s="2">
        <v>240</v>
      </c>
      <c r="D10" s="2" t="s">
        <v>848</v>
      </c>
      <c r="I10" s="2">
        <v>245</v>
      </c>
      <c r="J10" s="2" t="s">
        <v>849</v>
      </c>
      <c r="K10"/>
      <c r="L10"/>
      <c r="M10"/>
      <c r="N10"/>
      <c r="O10"/>
      <c r="P10"/>
      <c r="Q10"/>
      <c r="T10" s="13"/>
      <c r="U10" s="13"/>
      <c r="V10" s="13"/>
      <c r="W10" s="13"/>
      <c r="X10" s="13"/>
      <c r="Y10" s="13"/>
      <c r="AB10" s="13"/>
      <c r="AC10"/>
      <c r="AD10" s="84"/>
      <c r="AE10" s="84"/>
      <c r="AF10" s="84"/>
      <c r="AG10" s="84"/>
      <c r="AH10" s="83"/>
      <c r="AI10" s="507"/>
      <c r="AJ10" s="507"/>
      <c r="AK10"/>
      <c r="AL10"/>
      <c r="AM10" s="83"/>
      <c r="AN10" s="281"/>
      <c r="AO10" s="281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</row>
    <row r="11" spans="1:60" s="508" customFormat="1" hidden="1" outlineLevel="1" x14ac:dyDescent="0.25">
      <c r="A11"/>
      <c r="B11"/>
      <c r="C11" s="2">
        <v>250</v>
      </c>
      <c r="D11" s="2" t="s">
        <v>850</v>
      </c>
      <c r="I11" s="2">
        <v>255</v>
      </c>
      <c r="J11" s="2" t="s">
        <v>851</v>
      </c>
      <c r="K11"/>
      <c r="L11"/>
      <c r="M11"/>
      <c r="N11"/>
      <c r="O11"/>
      <c r="P11"/>
      <c r="Q11"/>
      <c r="T11" s="13"/>
      <c r="U11" s="13"/>
      <c r="V11" s="13"/>
      <c r="W11" s="13"/>
      <c r="X11" s="13"/>
      <c r="Y11" s="13"/>
      <c r="AB11" s="13"/>
      <c r="AC11"/>
      <c r="AD11" s="84"/>
      <c r="AE11" s="84"/>
      <c r="AF11" s="84"/>
      <c r="AG11" s="84"/>
      <c r="AH11" s="83"/>
      <c r="AI11" s="507"/>
      <c r="AJ11" s="507"/>
      <c r="AK11"/>
      <c r="AL11"/>
      <c r="AM11" s="83"/>
      <c r="AN11" s="281"/>
      <c r="AO11" s="281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</row>
    <row r="12" spans="1:60" s="508" customFormat="1" hidden="1" outlineLevel="1" x14ac:dyDescent="0.25">
      <c r="A12"/>
      <c r="B12"/>
      <c r="C12" s="2">
        <v>256</v>
      </c>
      <c r="D12" s="2" t="s">
        <v>852</v>
      </c>
      <c r="I12" s="2">
        <v>257</v>
      </c>
      <c r="J12" s="2" t="s">
        <v>853</v>
      </c>
      <c r="K12"/>
      <c r="L12"/>
      <c r="M12"/>
      <c r="N12"/>
      <c r="O12"/>
      <c r="P12"/>
      <c r="Q12"/>
      <c r="T12" s="13"/>
      <c r="U12" s="13"/>
      <c r="V12" s="13"/>
      <c r="W12" s="13"/>
      <c r="X12" s="13"/>
      <c r="Y12" s="13"/>
      <c r="AB12" s="13"/>
      <c r="AC12"/>
      <c r="AD12" s="84"/>
      <c r="AE12" s="84"/>
      <c r="AF12" s="84"/>
      <c r="AG12" s="84"/>
      <c r="AH12" s="83"/>
      <c r="AI12" s="507"/>
      <c r="AJ12" s="507"/>
      <c r="AK12"/>
      <c r="AL12"/>
      <c r="AM12" s="83"/>
      <c r="AN12" s="281"/>
      <c r="AO12" s="281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</row>
    <row r="13" spans="1:60" s="508" customFormat="1" hidden="1" outlineLevel="1" x14ac:dyDescent="0.25">
      <c r="A13"/>
      <c r="B13"/>
      <c r="J13" s="8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 s="84"/>
      <c r="AE13" s="84"/>
      <c r="AF13" s="84"/>
      <c r="AG13" s="84"/>
      <c r="AH13" s="83"/>
      <c r="AI13" s="507"/>
      <c r="AJ13" s="507"/>
      <c r="AK13"/>
      <c r="AL13"/>
      <c r="AM13" s="83"/>
      <c r="AN13" s="281"/>
      <c r="AO13" s="281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</row>
    <row r="14" spans="1:60" s="508" customFormat="1" hidden="1" outlineLevel="1" x14ac:dyDescent="0.25">
      <c r="A14"/>
      <c r="B14"/>
      <c r="J14" s="83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 s="84"/>
      <c r="AE14" s="84"/>
      <c r="AF14" s="84"/>
      <c r="AG14" s="84"/>
      <c r="AH14" s="83"/>
      <c r="AI14" s="507"/>
      <c r="AJ14" s="507"/>
      <c r="AK14"/>
      <c r="AL14"/>
      <c r="AM14" s="83"/>
      <c r="AN14" s="281"/>
      <c r="AO14" s="281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</row>
    <row r="15" spans="1:60" s="508" customFormat="1" hidden="1" outlineLevel="1" x14ac:dyDescent="0.25">
      <c r="A15"/>
      <c r="B15"/>
      <c r="J15" s="83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 s="84"/>
      <c r="AE15" s="84"/>
      <c r="AF15" s="84"/>
      <c r="AG15" s="84"/>
      <c r="AH15" s="83"/>
      <c r="AI15" s="507"/>
      <c r="AJ15" s="507"/>
      <c r="AK15"/>
      <c r="AL15"/>
      <c r="AM15" s="83"/>
      <c r="AN15" s="281"/>
      <c r="AO15" s="281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</row>
    <row r="16" spans="1:60" s="508" customFormat="1" x14ac:dyDescent="0.25">
      <c r="A16"/>
      <c r="B16"/>
      <c r="J16" s="83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 s="84"/>
      <c r="AE16" s="84"/>
      <c r="AF16" s="84"/>
      <c r="AG16" s="84"/>
      <c r="AH16" s="83"/>
      <c r="AI16" s="507"/>
      <c r="AJ16" s="507"/>
      <c r="AK16"/>
      <c r="AL16"/>
      <c r="AM16" s="83"/>
      <c r="AN16" s="281"/>
      <c r="AO16" s="281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</row>
    <row r="17" spans="1:60" s="508" customFormat="1" x14ac:dyDescent="0.25">
      <c r="A17"/>
      <c r="B17"/>
      <c r="C17" s="59" t="s">
        <v>1125</v>
      </c>
      <c r="J17"/>
      <c r="K17"/>
      <c r="L17" s="13" t="s">
        <v>578</v>
      </c>
      <c r="M17" s="635" t="s">
        <v>748</v>
      </c>
      <c r="N17" s="13"/>
      <c r="O17" s="13" t="s">
        <v>578</v>
      </c>
      <c r="P17" s="635" t="s">
        <v>748</v>
      </c>
      <c r="Q17"/>
      <c r="R17" s="511" t="s">
        <v>648</v>
      </c>
      <c r="S17" s="515" t="s">
        <v>1122</v>
      </c>
      <c r="T17"/>
      <c r="U17"/>
      <c r="V17"/>
      <c r="W17"/>
      <c r="X17"/>
      <c r="Y17"/>
      <c r="AB17" s="84"/>
      <c r="AC17"/>
      <c r="AH17" s="83"/>
      <c r="AI17" s="511" t="str">
        <f>_xlfn.CONCAT($R$17,"  ",S17)</f>
        <v>•  Class Z, X, or XX</v>
      </c>
      <c r="AJ17" s="507"/>
      <c r="AK17" s="54"/>
      <c r="AL17" s="507"/>
      <c r="AN17" s="281"/>
      <c r="AO17" s="281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</row>
    <row r="18" spans="1:60" s="508" customFormat="1" x14ac:dyDescent="0.25">
      <c r="A18"/>
      <c r="B18"/>
      <c r="C18" s="698" t="s">
        <v>766</v>
      </c>
      <c r="D18" s="104"/>
      <c r="E18" s="513"/>
      <c r="F18" s="104"/>
      <c r="G18" s="83"/>
      <c r="H18" s="84"/>
      <c r="J18"/>
      <c r="K18"/>
      <c r="L18" s="13" t="s">
        <v>614</v>
      </c>
      <c r="M18" s="13" t="s">
        <v>580</v>
      </c>
      <c r="N18" s="13"/>
      <c r="O18" s="58" t="s">
        <v>615</v>
      </c>
      <c r="P18" s="13" t="s">
        <v>580</v>
      </c>
      <c r="Q18"/>
      <c r="R18" s="511"/>
      <c r="S18" s="89" t="s">
        <v>746</v>
      </c>
      <c r="T18"/>
      <c r="U18"/>
      <c r="V18"/>
      <c r="W18"/>
      <c r="X18"/>
      <c r="Y18"/>
      <c r="AB18" s="84"/>
      <c r="AC18"/>
      <c r="AH18" s="83"/>
      <c r="AI18" s="511" t="str">
        <f>_xlfn.CONCAT($R$17,"  ",S18)</f>
        <v>•  Handles marked with class, size, and tolerance direction</v>
      </c>
      <c r="AJ18" s="507"/>
      <c r="AK18" s="54"/>
      <c r="AL18" s="507"/>
      <c r="AM18" s="83"/>
      <c r="AN18" s="281"/>
      <c r="AO18" s="281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</row>
    <row r="19" spans="1:60" s="508" customFormat="1" x14ac:dyDescent="0.25">
      <c r="A19"/>
      <c r="B19"/>
      <c r="C19" s="59" t="s">
        <v>1126</v>
      </c>
      <c r="H19"/>
      <c r="I19" s="593">
        <v>25.4</v>
      </c>
      <c r="J19" s="83"/>
      <c r="K19"/>
      <c r="M19"/>
      <c r="N19"/>
      <c r="O19"/>
      <c r="P19"/>
      <c r="Q19"/>
      <c r="R19" s="83"/>
      <c r="S19" s="89" t="s">
        <v>670</v>
      </c>
      <c r="T19"/>
      <c r="U19"/>
      <c r="V19"/>
      <c r="W19"/>
      <c r="X19"/>
      <c r="Y19"/>
      <c r="AB19" s="84"/>
      <c r="AC19"/>
      <c r="AD19" s="84"/>
      <c r="AE19" s="84"/>
      <c r="AF19" s="84"/>
      <c r="AG19" s="84"/>
      <c r="AH19" s="83"/>
      <c r="AI19" s="511" t="str">
        <f>_xlfn.CONCAT($R$17,"  ",S19)</f>
        <v>•  Custom marking available – $15 per handle flat</v>
      </c>
      <c r="AJ19" s="507"/>
      <c r="AK19" s="54"/>
      <c r="AL19" s="507"/>
      <c r="AM19" s="83"/>
      <c r="AN19" s="281"/>
      <c r="AO19" s="281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</row>
    <row r="20" spans="1:60" s="508" customFormat="1" x14ac:dyDescent="0.25">
      <c r="A20"/>
      <c r="B20"/>
      <c r="C20" s="83"/>
      <c r="D20" s="86"/>
      <c r="E20" s="84"/>
      <c r="F20" s="83"/>
      <c r="G20" s="83"/>
      <c r="H20" s="84"/>
      <c r="I20" s="83"/>
      <c r="J20" s="83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 s="84"/>
      <c r="AE20" s="84"/>
      <c r="AF20" s="84"/>
      <c r="AG20" s="84"/>
      <c r="AH20" s="83"/>
      <c r="AI20"/>
      <c r="AJ20" s="507"/>
      <c r="AK20" s="54"/>
      <c r="AL20" s="507"/>
      <c r="AM20" s="83"/>
      <c r="AN20" s="281"/>
      <c r="AO20" s="281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</row>
    <row r="21" spans="1:60" s="508" customFormat="1" ht="6" customHeight="1" thickBot="1" x14ac:dyDescent="0.3">
      <c r="A21"/>
      <c r="B21"/>
      <c r="D21" s="86"/>
      <c r="E21" s="84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 s="84"/>
      <c r="AE21" s="84"/>
      <c r="AF21" s="84"/>
      <c r="AG21" s="84"/>
      <c r="AH21" s="83"/>
      <c r="AI21" s="509"/>
      <c r="AJ21" s="509"/>
      <c r="AK21" s="509"/>
      <c r="AL21" s="509"/>
      <c r="AM21" s="83"/>
      <c r="AN21" s="281"/>
      <c r="AO21" s="281"/>
      <c r="AX21" s="83"/>
      <c r="AY21" s="83"/>
      <c r="AZ21" s="83"/>
      <c r="BA21" s="83"/>
      <c r="BB21" s="83"/>
      <c r="BC21" s="83"/>
      <c r="BD21" s="83"/>
      <c r="BE21" s="83"/>
    </row>
    <row r="22" spans="1:60" s="511" customFormat="1" x14ac:dyDescent="0.25">
      <c r="A22"/>
      <c r="B22"/>
      <c r="C22" s="510" t="s">
        <v>196</v>
      </c>
      <c r="D22" s="55" t="s">
        <v>625</v>
      </c>
      <c r="E22" s="108"/>
      <c r="F22" s="102"/>
      <c r="G22" s="102"/>
      <c r="H22" s="108"/>
      <c r="I22" s="537">
        <v>1E-4</v>
      </c>
      <c r="J22" s="537">
        <v>2.5000000000000001E-3</v>
      </c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 s="108"/>
      <c r="AE22" s="108"/>
      <c r="AF22" s="108"/>
      <c r="AG22" s="108"/>
      <c r="AH22" s="102"/>
      <c r="AI22" s="767" t="str">
        <f>_xlfn.CONCAT("Class ",$C22,"  (",TEXT($I22,".0000#"),""""," or ",TEXT($J22,".000#"),"mm)")</f>
        <v>Class Z  (.0001" or .0025mm)</v>
      </c>
      <c r="AJ22" s="772"/>
      <c r="AK22" s="772"/>
      <c r="AL22" s="772"/>
      <c r="AM22" s="773"/>
      <c r="AN22" s="281"/>
      <c r="AO22" s="281"/>
      <c r="AX22" s="102"/>
      <c r="AY22" s="102"/>
      <c r="AZ22" s="102"/>
      <c r="BA22" s="102"/>
      <c r="BB22" s="102"/>
      <c r="BC22" s="102"/>
      <c r="BD22" s="102"/>
      <c r="BE22" s="102"/>
    </row>
    <row r="23" spans="1:60" s="104" customFormat="1" ht="18" x14ac:dyDescent="0.4">
      <c r="A23"/>
      <c r="B23"/>
      <c r="D23" s="55"/>
      <c r="E23" s="106"/>
      <c r="F23" s="59" t="s">
        <v>572</v>
      </c>
      <c r="G23" s="60">
        <v>5.0000000000000001E-4</v>
      </c>
      <c r="I23" s="59" t="s">
        <v>572</v>
      </c>
      <c r="J23" s="62">
        <v>0.01</v>
      </c>
      <c r="K23"/>
      <c r="L23"/>
      <c r="M23"/>
      <c r="N23"/>
      <c r="O23"/>
      <c r="P23"/>
      <c r="Q23"/>
      <c r="R23" s="17" t="s">
        <v>185</v>
      </c>
      <c r="S23" s="17"/>
      <c r="T23" s="17"/>
      <c r="V23" s="488"/>
      <c r="W23" s="488"/>
      <c r="X23" s="488"/>
      <c r="Y23"/>
      <c r="Z23" s="17" t="s">
        <v>199</v>
      </c>
      <c r="AA23" s="17"/>
      <c r="AB23" s="17"/>
      <c r="AF23" s="106"/>
      <c r="AG23" s="106"/>
      <c r="AH23" s="102"/>
      <c r="AI23" s="571" t="s">
        <v>3</v>
      </c>
      <c r="AJ23" s="261"/>
      <c r="AK23" s="1065" t="s">
        <v>399</v>
      </c>
      <c r="AL23" s="570" t="s">
        <v>573</v>
      </c>
      <c r="AM23" s="262"/>
      <c r="AN23" s="9"/>
      <c r="AO23" s="9"/>
      <c r="AX23" s="102"/>
      <c r="AY23" s="102"/>
      <c r="AZ23" s="102"/>
      <c r="BA23" s="102"/>
      <c r="BB23" s="102"/>
      <c r="BC23" s="102"/>
      <c r="BD23" s="102"/>
      <c r="BE23" s="102"/>
    </row>
    <row r="24" spans="1:60" s="104" customFormat="1" ht="15.75" x14ac:dyDescent="0.25">
      <c r="A24"/>
      <c r="B24"/>
      <c r="D24" s="105"/>
      <c r="E24" s="106"/>
      <c r="F24" s="91" t="s">
        <v>581</v>
      </c>
      <c r="G24" s="91" t="s">
        <v>582</v>
      </c>
      <c r="H24" s="526"/>
      <c r="I24" s="91" t="s">
        <v>581</v>
      </c>
      <c r="J24" s="91" t="s">
        <v>582</v>
      </c>
      <c r="K24"/>
      <c r="L24"/>
      <c r="M24"/>
      <c r="N24"/>
      <c r="O24"/>
      <c r="P24"/>
      <c r="Q24"/>
      <c r="R24" s="344" t="s">
        <v>632</v>
      </c>
      <c r="S24" s="344" t="s">
        <v>633</v>
      </c>
      <c r="T24" s="732" t="s">
        <v>636</v>
      </c>
      <c r="U24" s="479">
        <v>0.35</v>
      </c>
      <c r="V24" s="11"/>
      <c r="W24" s="479">
        <v>0.4</v>
      </c>
      <c r="X24" s="732" t="s">
        <v>636</v>
      </c>
      <c r="Y24"/>
      <c r="Z24" s="344" t="s">
        <v>632</v>
      </c>
      <c r="AA24" s="344" t="s">
        <v>633</v>
      </c>
      <c r="AB24" s="732" t="s">
        <v>636</v>
      </c>
      <c r="AC24" s="479">
        <v>0.35</v>
      </c>
      <c r="AD24" s="106"/>
      <c r="AE24" s="479">
        <v>0.4</v>
      </c>
      <c r="AF24" s="732" t="s">
        <v>636</v>
      </c>
      <c r="AG24" s="106"/>
      <c r="AH24" s="102"/>
      <c r="AI24" s="572" t="s">
        <v>4</v>
      </c>
      <c r="AJ24" s="558" t="s">
        <v>5</v>
      </c>
      <c r="AK24" s="1066"/>
      <c r="AL24" s="573" t="s">
        <v>185</v>
      </c>
      <c r="AM24" s="574" t="s">
        <v>199</v>
      </c>
      <c r="AN24" s="9"/>
      <c r="AO24" s="9"/>
      <c r="AX24" s="102"/>
      <c r="AY24" s="102"/>
      <c r="AZ24" s="102"/>
      <c r="BA24" s="102"/>
      <c r="BB24" s="102"/>
      <c r="BC24" s="102"/>
      <c r="BD24" s="102"/>
      <c r="BE24" s="102"/>
    </row>
    <row r="25" spans="1:60" s="104" customFormat="1" ht="15.75" x14ac:dyDescent="0.25">
      <c r="A25"/>
      <c r="B25"/>
      <c r="C25" s="108" t="s">
        <v>196</v>
      </c>
      <c r="D25" s="103" t="s">
        <v>478</v>
      </c>
      <c r="E25" s="108"/>
      <c r="F25" s="60">
        <v>5.0000000000000001E-3</v>
      </c>
      <c r="G25" s="60">
        <v>7.5499999999999998E-2</v>
      </c>
      <c r="H25" s="527"/>
      <c r="I25" s="528">
        <v>0.22</v>
      </c>
      <c r="J25" s="589">
        <v>1.91</v>
      </c>
      <c r="K25"/>
      <c r="L25" s="383" t="str">
        <f>_xlfn.CONCAT($L$17,$M$17,$C25,$M$17,$D25,$L$18)</f>
        <v>ASSY-Z-1WSE</v>
      </c>
      <c r="M25" s="383" t="str">
        <f>_xlfn.CONCAT($L$17,$M$17,$M$18,$M$17,$C25,$M$17,$D25,$L$18)</f>
        <v>ASSY-MM-Z-1WSE</v>
      </c>
      <c r="N25"/>
      <c r="O25" t="str">
        <f>_xlfn.CONCAT(O$17,P$17,$C25,P$17,$D25,$O$18)</f>
        <v>ASSY-Z-1WDE</v>
      </c>
      <c r="P25" t="str">
        <f>_xlfn.CONCAT(O$17,$P$17,$P$18,$P$17,$C25,$P$17,$D25,$O$18)</f>
        <v>ASSY-MM-Z-1WDE</v>
      </c>
      <c r="Q25"/>
      <c r="R25" s="460">
        <v>34</v>
      </c>
      <c r="S25" s="460">
        <v>40</v>
      </c>
      <c r="T25" s="994">
        <f>IFERROR(((S25-R25)/R25),0)</f>
        <v>0.17647058823529413</v>
      </c>
      <c r="U25" s="464">
        <f>IFERROR(((1-U$24)*S25),0)</f>
        <v>26</v>
      </c>
      <c r="V25" s="464"/>
      <c r="W25" s="464">
        <f>IFERROR(((1-W$24)*R25),0)</f>
        <v>20.399999999999999</v>
      </c>
      <c r="X25" s="669">
        <f>((U25-W25)/W25)</f>
        <v>0.27450980392156871</v>
      </c>
      <c r="Y25"/>
      <c r="Z25" s="460">
        <v>58</v>
      </c>
      <c r="AA25" s="460">
        <v>62</v>
      </c>
      <c r="AB25" s="988">
        <f>IFERROR(((AA25-Z25)/Z25),0)</f>
        <v>6.8965517241379309E-2</v>
      </c>
      <c r="AC25" s="633">
        <f t="shared" ref="AC25:AC32" si="0">IFERROR(((1-AC$24)*$AA25),0)</f>
        <v>40.300000000000004</v>
      </c>
      <c r="AD25" s="108"/>
      <c r="AE25" s="987">
        <f>PRODUCT((1-$AE$24),Z25)</f>
        <v>34.799999999999997</v>
      </c>
      <c r="AF25" s="669">
        <f>((AC25-AE25)/AE25)</f>
        <v>0.15804597701149448</v>
      </c>
      <c r="AG25" s="108"/>
      <c r="AH25" s="102"/>
      <c r="AI25" s="265" t="str">
        <f t="shared" ref="AI25:AI32" si="1">_xlfn.CONCAT(TEXT($F25,"#.000#"),""""," - ",TEXT($G25,"#.000#"),"""")</f>
        <v>.005" - .0755"</v>
      </c>
      <c r="AJ25" s="266" t="str">
        <f t="shared" ref="AJ25:AJ32" si="2">_xlfn.CONCAT(TEXT($I25,"#.00")," - ",TEXT($J25,"#.00"),"mm")</f>
        <v>.22 - 1.91mm</v>
      </c>
      <c r="AK25" s="267" t="str">
        <f>$D25</f>
        <v>1W</v>
      </c>
      <c r="AL25" s="268">
        <f t="shared" ref="AL25:AL32" si="3">S25</f>
        <v>40</v>
      </c>
      <c r="AM25" s="269">
        <f t="shared" ref="AM25:AM32" si="4">AA25</f>
        <v>62</v>
      </c>
      <c r="AN25" s="9"/>
      <c r="AO25" s="9"/>
    </row>
    <row r="26" spans="1:60" s="104" customFormat="1" ht="15.75" x14ac:dyDescent="0.25">
      <c r="A26"/>
      <c r="B26"/>
      <c r="C26" s="102" t="str">
        <f>C25</f>
        <v>Z</v>
      </c>
      <c r="D26" s="103" t="s">
        <v>479</v>
      </c>
      <c r="E26" s="103"/>
      <c r="F26" s="60">
        <v>7.5999999999999998E-2</v>
      </c>
      <c r="G26" s="60">
        <v>0.18049999999999999</v>
      </c>
      <c r="H26" s="529"/>
      <c r="I26" s="611">
        <f>J25+$J$23</f>
        <v>1.92</v>
      </c>
      <c r="J26" s="589">
        <v>4.57</v>
      </c>
      <c r="K26"/>
      <c r="L26" s="383" t="str">
        <f t="shared" ref="L26:L32" si="5">_xlfn.CONCAT($L$17,$M$17,$C26,$M$17,$D26,$L$18)</f>
        <v>ASSY-Z-2WSE</v>
      </c>
      <c r="M26" s="383" t="str">
        <f t="shared" ref="M26:M32" si="6">_xlfn.CONCAT($L$17,$M$17,$M$18,$M$17,$C26,$M$17,$D26,$L$18)</f>
        <v>ASSY-MM-Z-2WSE</v>
      </c>
      <c r="N26"/>
      <c r="O26" t="str">
        <f t="shared" ref="O26:O32" si="7">_xlfn.CONCAT(O$17,P$17,$C26,P$17,$D26,$O$18)</f>
        <v>ASSY-Z-2WDE</v>
      </c>
      <c r="P26" t="str">
        <f t="shared" ref="P26:P32" si="8">_xlfn.CONCAT(O$17,$P$17,$P$18,$P$17,$C26,$P$17,$D26,$O$18)</f>
        <v>ASSY-MM-Z-2WDE</v>
      </c>
      <c r="Q26"/>
      <c r="R26" s="460">
        <v>32.5</v>
      </c>
      <c r="S26" s="460">
        <v>36</v>
      </c>
      <c r="T26" s="988">
        <f t="shared" ref="T26:T32" si="9">IFERROR(((S26-R26)/R26),0)</f>
        <v>0.1076923076923077</v>
      </c>
      <c r="U26" s="464">
        <f t="shared" ref="U26:U32" si="10">IFERROR(((1-U$24)*S26),0)</f>
        <v>23.400000000000002</v>
      </c>
      <c r="V26" s="464"/>
      <c r="W26" s="464">
        <f t="shared" ref="W26:W32" si="11">IFERROR(((1-W$24)*R26),0)</f>
        <v>19.5</v>
      </c>
      <c r="X26" s="669">
        <f t="shared" ref="X26:X32" si="12">((U26-W26)/W26)</f>
        <v>0.20000000000000012</v>
      </c>
      <c r="Y26"/>
      <c r="Z26" s="460">
        <v>54.75</v>
      </c>
      <c r="AA26" s="460">
        <v>55</v>
      </c>
      <c r="AB26" s="988">
        <f t="shared" ref="AB26:AB32" si="13">IFERROR(((AA26-Z26)/Z26),0)</f>
        <v>4.5662100456621002E-3</v>
      </c>
      <c r="AC26" s="633">
        <f t="shared" si="0"/>
        <v>35.75</v>
      </c>
      <c r="AD26" s="103"/>
      <c r="AE26" s="987">
        <f t="shared" ref="AE26:AE32" si="14">PRODUCT((1-$AE$24),Z26)</f>
        <v>32.85</v>
      </c>
      <c r="AF26" s="669">
        <f t="shared" ref="AF26:AF32" si="15">((AC26-AE26)/AE26)</f>
        <v>8.8280060882800562E-2</v>
      </c>
      <c r="AG26" s="103"/>
      <c r="AH26" s="102"/>
      <c r="AI26" s="270" t="str">
        <f t="shared" si="1"/>
        <v>.076" - .1805"</v>
      </c>
      <c r="AJ26" s="271" t="str">
        <f t="shared" si="2"/>
        <v>1.92 - 4.57mm</v>
      </c>
      <c r="AK26" s="272" t="str">
        <f t="shared" ref="AK26:AK32" si="16">$D26</f>
        <v>2W</v>
      </c>
      <c r="AL26" s="273">
        <f t="shared" si="3"/>
        <v>36</v>
      </c>
      <c r="AM26" s="274">
        <f t="shared" si="4"/>
        <v>55</v>
      </c>
      <c r="AN26" s="9"/>
      <c r="AO26" s="9"/>
    </row>
    <row r="27" spans="1:60" s="104" customFormat="1" ht="15.75" x14ac:dyDescent="0.25">
      <c r="A27"/>
      <c r="B27"/>
      <c r="C27" s="102" t="str">
        <f t="shared" ref="C27:C32" si="17">C26</f>
        <v>Z</v>
      </c>
      <c r="D27" s="103" t="s">
        <v>480</v>
      </c>
      <c r="E27" s="103"/>
      <c r="F27" s="60">
        <v>0.18099999999999999</v>
      </c>
      <c r="G27" s="60">
        <v>0.28149999999999997</v>
      </c>
      <c r="H27" s="529"/>
      <c r="I27" s="611">
        <f t="shared" ref="I27:I32" si="18">J26+$J$23</f>
        <v>4.58</v>
      </c>
      <c r="J27" s="589">
        <v>7.14</v>
      </c>
      <c r="K27"/>
      <c r="L27" s="383" t="str">
        <f t="shared" si="5"/>
        <v>ASSY-Z-3WSE</v>
      </c>
      <c r="M27" s="383" t="str">
        <f t="shared" si="6"/>
        <v>ASSY-MM-Z-3WSE</v>
      </c>
      <c r="N27"/>
      <c r="O27" t="str">
        <f t="shared" si="7"/>
        <v>ASSY-Z-3WDE</v>
      </c>
      <c r="P27" t="str">
        <f t="shared" si="8"/>
        <v>ASSY-MM-Z-3WDE</v>
      </c>
      <c r="Q27"/>
      <c r="R27" s="460">
        <v>34.75</v>
      </c>
      <c r="S27" s="460">
        <v>37.5</v>
      </c>
      <c r="T27" s="988">
        <f t="shared" si="9"/>
        <v>7.9136690647482008E-2</v>
      </c>
      <c r="U27" s="464">
        <f t="shared" si="10"/>
        <v>24.375</v>
      </c>
      <c r="V27" s="464"/>
      <c r="W27" s="464">
        <f t="shared" si="11"/>
        <v>20.849999999999998</v>
      </c>
      <c r="X27" s="669">
        <f t="shared" si="12"/>
        <v>0.16906474820143896</v>
      </c>
      <c r="Y27"/>
      <c r="Z27" s="460">
        <v>57</v>
      </c>
      <c r="AA27" s="460">
        <v>57</v>
      </c>
      <c r="AB27" s="988">
        <f t="shared" si="13"/>
        <v>0</v>
      </c>
      <c r="AC27" s="633">
        <f t="shared" si="0"/>
        <v>37.050000000000004</v>
      </c>
      <c r="AD27" s="103"/>
      <c r="AE27" s="987">
        <f>PRODUCT((1-$AE$24),Z27)</f>
        <v>34.199999999999996</v>
      </c>
      <c r="AF27" s="669">
        <f>((AC27-AE27)/AE27)</f>
        <v>8.3333333333333592E-2</v>
      </c>
      <c r="AG27" s="103"/>
      <c r="AH27" s="102"/>
      <c r="AI27" s="265" t="str">
        <f t="shared" si="1"/>
        <v>.181" - .2815"</v>
      </c>
      <c r="AJ27" s="266" t="str">
        <f t="shared" si="2"/>
        <v>4.58 - 7.14mm</v>
      </c>
      <c r="AK27" s="267" t="str">
        <f t="shared" si="16"/>
        <v>3W</v>
      </c>
      <c r="AL27" s="268">
        <f t="shared" si="3"/>
        <v>37.5</v>
      </c>
      <c r="AM27" s="269">
        <f t="shared" si="4"/>
        <v>57</v>
      </c>
      <c r="AN27" s="9"/>
      <c r="AO27" s="9"/>
    </row>
    <row r="28" spans="1:60" s="104" customFormat="1" ht="15.75" x14ac:dyDescent="0.25">
      <c r="A28"/>
      <c r="B28"/>
      <c r="C28" s="102" t="str">
        <f t="shared" si="17"/>
        <v>Z</v>
      </c>
      <c r="D28" s="103" t="s">
        <v>481</v>
      </c>
      <c r="E28" s="103"/>
      <c r="F28" s="60">
        <v>0.28199999999999997</v>
      </c>
      <c r="G28" s="60">
        <v>0.40649999999999997</v>
      </c>
      <c r="H28" s="529"/>
      <c r="I28" s="611">
        <f t="shared" si="18"/>
        <v>7.1499999999999995</v>
      </c>
      <c r="J28" s="589">
        <v>10.31</v>
      </c>
      <c r="K28"/>
      <c r="L28" s="383" t="str">
        <f t="shared" si="5"/>
        <v>ASSY-Z-4WSE</v>
      </c>
      <c r="M28" s="383" t="str">
        <f t="shared" si="6"/>
        <v>ASSY-MM-Z-4WSE</v>
      </c>
      <c r="N28"/>
      <c r="O28" t="str">
        <f t="shared" si="7"/>
        <v>ASSY-Z-4WDE</v>
      </c>
      <c r="P28" t="str">
        <f t="shared" si="8"/>
        <v>ASSY-MM-Z-4WDE</v>
      </c>
      <c r="Q28"/>
      <c r="R28" s="460">
        <v>35.5</v>
      </c>
      <c r="S28" s="460">
        <v>39</v>
      </c>
      <c r="T28" s="988">
        <f t="shared" si="9"/>
        <v>9.8591549295774641E-2</v>
      </c>
      <c r="U28" s="464">
        <f t="shared" si="10"/>
        <v>25.35</v>
      </c>
      <c r="V28" s="464"/>
      <c r="W28" s="464">
        <f t="shared" si="11"/>
        <v>21.3</v>
      </c>
      <c r="X28" s="669">
        <f t="shared" si="12"/>
        <v>0.19014084507042256</v>
      </c>
      <c r="Y28"/>
      <c r="Z28" s="460">
        <v>57.75</v>
      </c>
      <c r="AA28" s="460">
        <v>58</v>
      </c>
      <c r="AB28" s="988">
        <f t="shared" si="13"/>
        <v>4.329004329004329E-3</v>
      </c>
      <c r="AC28" s="633">
        <f t="shared" si="0"/>
        <v>37.700000000000003</v>
      </c>
      <c r="AD28" s="103"/>
      <c r="AE28" s="987">
        <f t="shared" si="14"/>
        <v>34.65</v>
      </c>
      <c r="AF28" s="669">
        <f t="shared" si="15"/>
        <v>8.8023088023088156E-2</v>
      </c>
      <c r="AG28" s="103"/>
      <c r="AH28" s="102"/>
      <c r="AI28" s="270" t="str">
        <f t="shared" si="1"/>
        <v>.282" - .4065"</v>
      </c>
      <c r="AJ28" s="271" t="str">
        <f t="shared" si="2"/>
        <v>7.15 - 10.31mm</v>
      </c>
      <c r="AK28" s="272" t="str">
        <f t="shared" si="16"/>
        <v>4W</v>
      </c>
      <c r="AL28" s="275">
        <f t="shared" si="3"/>
        <v>39</v>
      </c>
      <c r="AM28" s="274">
        <f t="shared" si="4"/>
        <v>58</v>
      </c>
      <c r="AN28" s="9"/>
      <c r="AO28" s="9"/>
    </row>
    <row r="29" spans="1:60" s="104" customFormat="1" ht="15.75" x14ac:dyDescent="0.25">
      <c r="A29"/>
      <c r="B29"/>
      <c r="C29" s="102" t="str">
        <f t="shared" si="17"/>
        <v>Z</v>
      </c>
      <c r="D29" s="103" t="s">
        <v>482</v>
      </c>
      <c r="E29" s="103"/>
      <c r="F29" s="60">
        <v>0.40699999999999997</v>
      </c>
      <c r="G29" s="60">
        <v>0.51049999999999995</v>
      </c>
      <c r="H29" s="529"/>
      <c r="I29" s="611">
        <f t="shared" si="18"/>
        <v>10.32</v>
      </c>
      <c r="J29" s="589">
        <v>12.95</v>
      </c>
      <c r="K29"/>
      <c r="L29" s="383" t="str">
        <f t="shared" si="5"/>
        <v>ASSY-Z-5WSE</v>
      </c>
      <c r="M29" s="383" t="str">
        <f t="shared" si="6"/>
        <v>ASSY-MM-Z-5WSE</v>
      </c>
      <c r="N29"/>
      <c r="O29" t="str">
        <f t="shared" si="7"/>
        <v>ASSY-Z-5WDE</v>
      </c>
      <c r="P29" t="str">
        <f t="shared" si="8"/>
        <v>ASSY-MM-Z-5WDE</v>
      </c>
      <c r="Q29"/>
      <c r="R29" s="460">
        <v>40.5</v>
      </c>
      <c r="S29" s="460">
        <v>41</v>
      </c>
      <c r="T29" s="988">
        <f t="shared" si="9"/>
        <v>1.2345679012345678E-2</v>
      </c>
      <c r="U29" s="464">
        <f t="shared" si="10"/>
        <v>26.650000000000002</v>
      </c>
      <c r="V29" s="464"/>
      <c r="W29" s="464">
        <f t="shared" si="11"/>
        <v>24.3</v>
      </c>
      <c r="X29" s="669">
        <f t="shared" si="12"/>
        <v>9.6707818930041212E-2</v>
      </c>
      <c r="Y29"/>
      <c r="Z29" s="460">
        <v>64</v>
      </c>
      <c r="AA29" s="460">
        <v>62</v>
      </c>
      <c r="AB29" s="988">
        <f t="shared" si="13"/>
        <v>-3.125E-2</v>
      </c>
      <c r="AC29" s="633">
        <f t="shared" si="0"/>
        <v>40.300000000000004</v>
      </c>
      <c r="AD29" s="103"/>
      <c r="AE29" s="987">
        <f t="shared" si="14"/>
        <v>38.4</v>
      </c>
      <c r="AF29" s="669">
        <f t="shared" si="15"/>
        <v>4.9479166666666817E-2</v>
      </c>
      <c r="AG29" s="103"/>
      <c r="AH29" s="102"/>
      <c r="AI29" s="265" t="str">
        <f t="shared" si="1"/>
        <v>.407" - .5105"</v>
      </c>
      <c r="AJ29" s="266" t="str">
        <f t="shared" si="2"/>
        <v>10.32 - 12.95mm</v>
      </c>
      <c r="AK29" s="267" t="str">
        <f t="shared" si="16"/>
        <v>5W</v>
      </c>
      <c r="AL29" s="268">
        <f t="shared" si="3"/>
        <v>41</v>
      </c>
      <c r="AM29" s="269">
        <f t="shared" si="4"/>
        <v>62</v>
      </c>
      <c r="AN29" s="9"/>
      <c r="AO29" s="9"/>
    </row>
    <row r="30" spans="1:60" s="104" customFormat="1" ht="15.75" x14ac:dyDescent="0.25">
      <c r="A30"/>
      <c r="B30"/>
      <c r="C30" s="102" t="str">
        <f t="shared" si="17"/>
        <v>Z</v>
      </c>
      <c r="D30" s="103" t="s">
        <v>483</v>
      </c>
      <c r="E30" s="103"/>
      <c r="F30" s="60">
        <v>0.5109999999999999</v>
      </c>
      <c r="G30" s="60">
        <v>0.63549999999999995</v>
      </c>
      <c r="H30" s="529"/>
      <c r="I30" s="611">
        <f t="shared" si="18"/>
        <v>12.959999999999999</v>
      </c>
      <c r="J30" s="589">
        <v>16.13</v>
      </c>
      <c r="K30"/>
      <c r="L30" s="383" t="str">
        <f t="shared" si="5"/>
        <v>ASSY-Z-6WSE</v>
      </c>
      <c r="M30" s="383" t="str">
        <f t="shared" si="6"/>
        <v>ASSY-MM-Z-6WSE</v>
      </c>
      <c r="N30"/>
      <c r="O30" t="str">
        <f t="shared" si="7"/>
        <v>ASSY-Z-6WDE</v>
      </c>
      <c r="P30" t="str">
        <f t="shared" si="8"/>
        <v>ASSY-MM-Z-6WDE</v>
      </c>
      <c r="Q30"/>
      <c r="R30" s="460">
        <v>46.75</v>
      </c>
      <c r="S30" s="460">
        <v>47.5</v>
      </c>
      <c r="T30" s="988">
        <f t="shared" si="9"/>
        <v>1.6042780748663103E-2</v>
      </c>
      <c r="U30" s="464">
        <f t="shared" si="10"/>
        <v>30.875</v>
      </c>
      <c r="V30" s="464"/>
      <c r="W30" s="464">
        <f t="shared" si="11"/>
        <v>28.05</v>
      </c>
      <c r="X30" s="669">
        <f t="shared" si="12"/>
        <v>0.10071301247771833</v>
      </c>
      <c r="Y30"/>
      <c r="Z30" s="460">
        <v>73.75</v>
      </c>
      <c r="AA30" s="460">
        <v>70</v>
      </c>
      <c r="AB30" s="988">
        <f t="shared" si="13"/>
        <v>-5.0847457627118647E-2</v>
      </c>
      <c r="AC30" s="633">
        <f t="shared" si="0"/>
        <v>45.5</v>
      </c>
      <c r="AD30" s="103"/>
      <c r="AE30" s="987">
        <f t="shared" si="14"/>
        <v>44.25</v>
      </c>
      <c r="AF30" s="669">
        <f t="shared" si="15"/>
        <v>2.8248587570621469E-2</v>
      </c>
      <c r="AG30" s="103"/>
      <c r="AH30" s="102"/>
      <c r="AI30" s="270" t="str">
        <f t="shared" si="1"/>
        <v>.511" - .6355"</v>
      </c>
      <c r="AJ30" s="271" t="str">
        <f t="shared" si="2"/>
        <v>12.96 - 16.13mm</v>
      </c>
      <c r="AK30" s="272" t="str">
        <f t="shared" si="16"/>
        <v>6W</v>
      </c>
      <c r="AL30" s="275">
        <f t="shared" si="3"/>
        <v>47.5</v>
      </c>
      <c r="AM30" s="274">
        <f t="shared" si="4"/>
        <v>70</v>
      </c>
      <c r="AN30" s="9"/>
      <c r="AO30" s="9"/>
    </row>
    <row r="31" spans="1:60" s="104" customFormat="1" ht="15.75" x14ac:dyDescent="0.25">
      <c r="A31"/>
      <c r="B31"/>
      <c r="C31" s="102" t="str">
        <f t="shared" si="17"/>
        <v>Z</v>
      </c>
      <c r="D31" s="103" t="s">
        <v>484</v>
      </c>
      <c r="E31" s="103"/>
      <c r="F31" s="60">
        <v>0.6359999999999999</v>
      </c>
      <c r="G31" s="60">
        <v>0.76049999999999995</v>
      </c>
      <c r="H31" s="529"/>
      <c r="I31" s="611">
        <f t="shared" si="18"/>
        <v>16.14</v>
      </c>
      <c r="J31" s="589">
        <v>19.3</v>
      </c>
      <c r="K31"/>
      <c r="L31" s="383" t="str">
        <f t="shared" si="5"/>
        <v>ASSY-Z-7WSE</v>
      </c>
      <c r="M31" s="383" t="str">
        <f t="shared" si="6"/>
        <v>ASSY-MM-Z-7WSE</v>
      </c>
      <c r="N31"/>
      <c r="O31" t="str">
        <f t="shared" si="7"/>
        <v>ASSY-Z-7WDE</v>
      </c>
      <c r="P31" t="str">
        <f t="shared" si="8"/>
        <v>ASSY-MM-Z-7WDE</v>
      </c>
      <c r="Q31"/>
      <c r="R31" s="460">
        <v>54</v>
      </c>
      <c r="S31" s="460">
        <v>54</v>
      </c>
      <c r="T31" s="988">
        <f t="shared" si="9"/>
        <v>0</v>
      </c>
      <c r="U31" s="464">
        <f t="shared" si="10"/>
        <v>35.1</v>
      </c>
      <c r="V31" s="464"/>
      <c r="W31" s="464">
        <f t="shared" si="11"/>
        <v>32.4</v>
      </c>
      <c r="X31" s="669">
        <f t="shared" si="12"/>
        <v>8.3333333333333426E-2</v>
      </c>
      <c r="Y31"/>
      <c r="Z31" s="460">
        <v>85</v>
      </c>
      <c r="AA31" s="460">
        <v>74</v>
      </c>
      <c r="AB31" s="988">
        <f t="shared" si="13"/>
        <v>-0.12941176470588237</v>
      </c>
      <c r="AC31" s="633">
        <f t="shared" si="0"/>
        <v>48.1</v>
      </c>
      <c r="AD31" s="103"/>
      <c r="AE31" s="987">
        <f t="shared" si="14"/>
        <v>51</v>
      </c>
      <c r="AF31" s="669">
        <f t="shared" si="15"/>
        <v>-5.6862745098039187E-2</v>
      </c>
      <c r="AG31" s="103"/>
      <c r="AH31" s="102"/>
      <c r="AI31" s="265" t="str">
        <f t="shared" si="1"/>
        <v>.636" - .7605"</v>
      </c>
      <c r="AJ31" s="266" t="str">
        <f t="shared" si="2"/>
        <v>16.14 - 19.30mm</v>
      </c>
      <c r="AK31" s="267" t="str">
        <f t="shared" si="16"/>
        <v>7W</v>
      </c>
      <c r="AL31" s="268">
        <f t="shared" si="3"/>
        <v>54</v>
      </c>
      <c r="AM31" s="269">
        <f t="shared" si="4"/>
        <v>74</v>
      </c>
      <c r="AN31" s="9"/>
      <c r="AO31" s="9"/>
    </row>
    <row r="32" spans="1:60" s="104" customFormat="1" ht="16.5" thickBot="1" x14ac:dyDescent="0.3">
      <c r="A32"/>
      <c r="B32"/>
      <c r="C32" s="102" t="str">
        <f t="shared" si="17"/>
        <v>Z</v>
      </c>
      <c r="D32" s="103" t="s">
        <v>485</v>
      </c>
      <c r="E32" s="103"/>
      <c r="F32" s="60">
        <v>0.7609999999999999</v>
      </c>
      <c r="G32" s="588">
        <v>1.0149999999999999</v>
      </c>
      <c r="H32" s="529"/>
      <c r="I32" s="611">
        <f t="shared" si="18"/>
        <v>19.310000000000002</v>
      </c>
      <c r="J32" s="589">
        <v>25.65</v>
      </c>
      <c r="K32"/>
      <c r="L32" s="383" t="str">
        <f t="shared" si="5"/>
        <v>ASSY-Z-8WSE</v>
      </c>
      <c r="M32" s="383" t="str">
        <f t="shared" si="6"/>
        <v>ASSY-MM-Z-8WSE</v>
      </c>
      <c r="N32"/>
      <c r="O32" t="str">
        <f t="shared" si="7"/>
        <v>ASSY-Z-8WDE</v>
      </c>
      <c r="P32" t="str">
        <f t="shared" si="8"/>
        <v>ASSY-MM-Z-8WDE</v>
      </c>
      <c r="Q32"/>
      <c r="R32" s="460">
        <v>65.5</v>
      </c>
      <c r="S32" s="460">
        <v>60</v>
      </c>
      <c r="T32" s="988">
        <f t="shared" si="9"/>
        <v>-8.3969465648854963E-2</v>
      </c>
      <c r="U32" s="464">
        <f t="shared" si="10"/>
        <v>39</v>
      </c>
      <c r="V32" s="464"/>
      <c r="W32" s="464">
        <f t="shared" si="11"/>
        <v>39.299999999999997</v>
      </c>
      <c r="X32" s="669">
        <f t="shared" si="12"/>
        <v>-7.6335877862594706E-3</v>
      </c>
      <c r="Y32"/>
      <c r="Z32" s="460">
        <v>99.75</v>
      </c>
      <c r="AA32" s="460">
        <v>80</v>
      </c>
      <c r="AB32" s="988">
        <f t="shared" si="13"/>
        <v>-0.19799498746867167</v>
      </c>
      <c r="AC32" s="633">
        <f t="shared" si="0"/>
        <v>52</v>
      </c>
      <c r="AD32" s="103"/>
      <c r="AE32" s="987">
        <f t="shared" si="14"/>
        <v>59.849999999999994</v>
      </c>
      <c r="AF32" s="669">
        <f t="shared" si="15"/>
        <v>-0.13116123642439423</v>
      </c>
      <c r="AG32" s="103"/>
      <c r="AH32" s="102"/>
      <c r="AI32" s="276" t="str">
        <f t="shared" si="1"/>
        <v>.761" - 1.015"</v>
      </c>
      <c r="AJ32" s="277" t="str">
        <f t="shared" si="2"/>
        <v>19.31 - 25.65mm</v>
      </c>
      <c r="AK32" s="278" t="str">
        <f t="shared" si="16"/>
        <v>8W</v>
      </c>
      <c r="AL32" s="279">
        <f t="shared" si="3"/>
        <v>60</v>
      </c>
      <c r="AM32" s="280">
        <f t="shared" si="4"/>
        <v>80</v>
      </c>
      <c r="AN32" s="9"/>
      <c r="AO32" s="9"/>
    </row>
    <row r="33" spans="1:41" customFormat="1" ht="4.1500000000000004" customHeight="1" x14ac:dyDescent="0.25">
      <c r="Z33" s="36"/>
      <c r="AA33" s="36"/>
      <c r="AC33" s="634"/>
      <c r="AI33" s="281"/>
      <c r="AJ33" s="281"/>
      <c r="AK33" s="281"/>
      <c r="AL33" s="281"/>
      <c r="AM33" s="83"/>
      <c r="AN33" s="9"/>
      <c r="AO33" s="9"/>
    </row>
    <row r="34" spans="1:41" customFormat="1" ht="15.75" x14ac:dyDescent="0.25">
      <c r="Z34" s="36"/>
      <c r="AA34" s="36"/>
      <c r="AC34" s="634"/>
      <c r="AI34" t="s">
        <v>687</v>
      </c>
      <c r="AJ34" s="281"/>
      <c r="AK34" s="281"/>
      <c r="AL34" s="281"/>
      <c r="AM34" s="83"/>
      <c r="AN34" s="9"/>
      <c r="AO34" s="9"/>
    </row>
    <row r="35" spans="1:41" customFormat="1" ht="15.75" x14ac:dyDescent="0.25">
      <c r="Z35" s="36"/>
      <c r="AA35" s="36"/>
      <c r="AI35" s="281"/>
      <c r="AJ35" s="281"/>
      <c r="AK35" s="281"/>
      <c r="AL35" s="281"/>
      <c r="AM35" s="83"/>
      <c r="AN35" s="9"/>
      <c r="AO35" s="9"/>
    </row>
    <row r="36" spans="1:41" customFormat="1" ht="6" customHeight="1" thickBot="1" x14ac:dyDescent="0.3">
      <c r="AI36" s="281"/>
      <c r="AJ36" s="281"/>
      <c r="AK36" s="281"/>
      <c r="AL36" s="281"/>
      <c r="AM36" s="83"/>
      <c r="AN36" s="9"/>
      <c r="AO36" s="9"/>
    </row>
    <row r="37" spans="1:41" customFormat="1" ht="15.75" x14ac:dyDescent="0.25">
      <c r="C37" t="s">
        <v>197</v>
      </c>
      <c r="D37" s="55" t="s">
        <v>626</v>
      </c>
      <c r="I37" s="537">
        <v>4.0000000000000003E-5</v>
      </c>
      <c r="J37" s="537">
        <v>1E-3</v>
      </c>
      <c r="AI37" s="767" t="str">
        <f>_xlfn.CONCAT("Class ",$C37,"  (",TEXT($I37,".0000#"),""""," or ",TEXT($J37,".000#"),"mm)")</f>
        <v>Class X  (.00004" or .001mm)</v>
      </c>
      <c r="AJ37" s="772"/>
      <c r="AK37" s="772"/>
      <c r="AL37" s="772"/>
      <c r="AM37" s="773"/>
      <c r="AN37" s="9"/>
      <c r="AO37" s="9"/>
    </row>
    <row r="38" spans="1:41" s="56" customFormat="1" ht="18" x14ac:dyDescent="0.4">
      <c r="A38"/>
      <c r="B38"/>
      <c r="D38" s="55"/>
      <c r="E38" s="84"/>
      <c r="F38" s="59" t="s">
        <v>572</v>
      </c>
      <c r="G38" s="60">
        <v>1E-4</v>
      </c>
      <c r="H38" s="84"/>
      <c r="I38" s="59" t="s">
        <v>572</v>
      </c>
      <c r="J38" s="74">
        <v>1E-3</v>
      </c>
      <c r="K38"/>
      <c r="L38"/>
      <c r="M38"/>
      <c r="N38"/>
      <c r="O38"/>
      <c r="P38"/>
      <c r="Q38"/>
      <c r="R38" s="17" t="s">
        <v>185</v>
      </c>
      <c r="S38" s="17"/>
      <c r="T38" s="17"/>
      <c r="V38" s="993"/>
      <c r="W38" s="993"/>
      <c r="X38" s="993"/>
      <c r="Y38"/>
      <c r="Z38" s="17" t="s">
        <v>199</v>
      </c>
      <c r="AA38" s="17"/>
      <c r="AB38" s="17"/>
      <c r="AD38" s="84"/>
      <c r="AE38" s="84"/>
      <c r="AF38" s="84"/>
      <c r="AG38" s="84"/>
      <c r="AH38" s="83"/>
      <c r="AI38" s="571" t="s">
        <v>3</v>
      </c>
      <c r="AJ38" s="261"/>
      <c r="AK38" s="1065" t="s">
        <v>399</v>
      </c>
      <c r="AL38" s="570" t="s">
        <v>573</v>
      </c>
      <c r="AM38" s="262"/>
      <c r="AN38" s="9"/>
      <c r="AO38" s="9"/>
    </row>
    <row r="39" spans="1:41" s="56" customFormat="1" ht="15.75" x14ac:dyDescent="0.25">
      <c r="A39"/>
      <c r="B39"/>
      <c r="D39" s="84"/>
      <c r="E39" s="84"/>
      <c r="F39" s="91" t="s">
        <v>581</v>
      </c>
      <c r="G39" s="91" t="s">
        <v>582</v>
      </c>
      <c r="H39" s="526"/>
      <c r="I39" s="91" t="s">
        <v>581</v>
      </c>
      <c r="J39" s="91" t="s">
        <v>582</v>
      </c>
      <c r="K39"/>
      <c r="L39"/>
      <c r="M39"/>
      <c r="N39"/>
      <c r="O39"/>
      <c r="P39"/>
      <c r="Q39"/>
      <c r="R39" s="344" t="s">
        <v>632</v>
      </c>
      <c r="S39" s="344" t="s">
        <v>633</v>
      </c>
      <c r="T39" s="732" t="s">
        <v>636</v>
      </c>
      <c r="U39" s="479">
        <v>0.2</v>
      </c>
      <c r="V39" s="11"/>
      <c r="W39" s="479">
        <v>0.2</v>
      </c>
      <c r="X39" s="732" t="s">
        <v>636</v>
      </c>
      <c r="Y39"/>
      <c r="Z39" s="344" t="s">
        <v>632</v>
      </c>
      <c r="AA39" s="344" t="s">
        <v>633</v>
      </c>
      <c r="AB39" s="732" t="s">
        <v>636</v>
      </c>
      <c r="AC39" s="479">
        <v>0.2</v>
      </c>
      <c r="AD39" s="84"/>
      <c r="AE39" s="479">
        <v>0.2</v>
      </c>
      <c r="AF39" s="732" t="s">
        <v>636</v>
      </c>
      <c r="AG39" s="84"/>
      <c r="AH39" s="83"/>
      <c r="AI39" s="263" t="s">
        <v>4</v>
      </c>
      <c r="AJ39" s="264" t="s">
        <v>5</v>
      </c>
      <c r="AK39" s="1066"/>
      <c r="AL39" s="573" t="s">
        <v>185</v>
      </c>
      <c r="AM39" s="574" t="s">
        <v>199</v>
      </c>
      <c r="AN39" s="9"/>
      <c r="AO39" s="9"/>
    </row>
    <row r="40" spans="1:41" s="56" customFormat="1" ht="15.75" x14ac:dyDescent="0.25">
      <c r="A40"/>
      <c r="B40"/>
      <c r="C40" s="89" t="s">
        <v>197</v>
      </c>
      <c r="D40" s="84" t="s">
        <v>478</v>
      </c>
      <c r="E40" s="89"/>
      <c r="F40" s="60">
        <v>5.0000000000000001E-3</v>
      </c>
      <c r="G40" s="60">
        <v>7.5899999999999995E-2</v>
      </c>
      <c r="H40" s="530"/>
      <c r="I40" s="612">
        <v>0.22</v>
      </c>
      <c r="J40" s="535">
        <f t="shared" ref="J40:J46" si="19">G40*$I$19</f>
        <v>1.9278599999999997</v>
      </c>
      <c r="K40"/>
      <c r="L40"/>
      <c r="M40"/>
      <c r="N40"/>
      <c r="O40" t="str">
        <f>_xlfn.CONCAT(O$17,P$17,$C40,P$17,$D40,$O$18)</f>
        <v>ASSY-X-1WDE</v>
      </c>
      <c r="P40" t="str">
        <f>_xlfn.CONCAT(O$17,$P$17,$P$18,$P$17,$C40,$P$17,$D40,$O$18)</f>
        <v>ASSY-MM-X-1WDE</v>
      </c>
      <c r="Q40"/>
      <c r="R40" s="460">
        <v>42.25</v>
      </c>
      <c r="S40" s="460">
        <v>54</v>
      </c>
      <c r="T40" s="994">
        <f>IFERROR(((S40-R40)/R40),0)</f>
        <v>0.27810650887573962</v>
      </c>
      <c r="U40" s="481">
        <f>IFERROR(((1-U$39)*R40),0)</f>
        <v>33.800000000000004</v>
      </c>
      <c r="V40" s="89"/>
      <c r="W40" s="987">
        <f>PRODUCT((1-$W$39),S40)</f>
        <v>43.2</v>
      </c>
      <c r="X40" s="669">
        <f>((W40-U40)/U40)</f>
        <v>0.27810650887573957</v>
      </c>
      <c r="Y40"/>
      <c r="Z40" s="460">
        <v>72.25</v>
      </c>
      <c r="AA40" s="460">
        <v>98</v>
      </c>
      <c r="AB40" s="632">
        <f>IFERROR(((AA40-Z40)/Z40),0)</f>
        <v>0.356401384083045</v>
      </c>
      <c r="AC40" s="481">
        <f>IFERROR(((1-AC$39)*Z40),0)</f>
        <v>57.800000000000004</v>
      </c>
      <c r="AD40" s="89"/>
      <c r="AE40" s="987">
        <f>PRODUCT((1-$AE$39),AA40)</f>
        <v>78.400000000000006</v>
      </c>
      <c r="AF40" s="669">
        <f>((AE40-AC40)/AC40)</f>
        <v>0.356401384083045</v>
      </c>
      <c r="AG40" s="89"/>
      <c r="AH40" s="83"/>
      <c r="AI40" s="265" t="str">
        <f t="shared" ref="AI40:AI47" si="20">_xlfn.CONCAT(TEXT($F40,"#.000#"),""""," - ",TEXT($G40,"#.000#"),"""")</f>
        <v>.005" - .0759"</v>
      </c>
      <c r="AJ40" s="266" t="str">
        <f>_xlfn.CONCAT(TEXT($I40,"#.000")," - ",TEXT($J40,"0.000"),"mm")</f>
        <v>.220 - 1.928mm</v>
      </c>
      <c r="AK40" s="267" t="str">
        <f>$D40</f>
        <v>1W</v>
      </c>
      <c r="AL40" s="268">
        <f t="shared" ref="AL40:AL47" si="21">S40</f>
        <v>54</v>
      </c>
      <c r="AM40" s="269">
        <f t="shared" ref="AM40:AM47" si="22">AA40</f>
        <v>98</v>
      </c>
      <c r="AN40" s="9"/>
      <c r="AO40" s="9"/>
    </row>
    <row r="41" spans="1:41" s="56" customFormat="1" ht="15.75" x14ac:dyDescent="0.25">
      <c r="A41"/>
      <c r="B41"/>
      <c r="C41" s="83" t="str">
        <f>C40</f>
        <v>X</v>
      </c>
      <c r="D41" s="84" t="s">
        <v>479</v>
      </c>
      <c r="E41" s="84"/>
      <c r="F41" s="60">
        <v>7.5999999999999998E-2</v>
      </c>
      <c r="G41" s="60">
        <v>0.18090000000000001</v>
      </c>
      <c r="H41" s="531"/>
      <c r="I41" s="535">
        <f>J40+$J$38</f>
        <v>1.9288599999999996</v>
      </c>
      <c r="J41" s="535">
        <f t="shared" si="19"/>
        <v>4.5948599999999997</v>
      </c>
      <c r="K41"/>
      <c r="L41"/>
      <c r="M41"/>
      <c r="N41"/>
      <c r="O41" t="str">
        <f t="shared" ref="O41:O47" si="23">_xlfn.CONCAT(O$17,P$17,$C41,P$17,$D41,$O$18)</f>
        <v>ASSY-X-2WDE</v>
      </c>
      <c r="P41" t="str">
        <f t="shared" ref="P41:P47" si="24">_xlfn.CONCAT(O$17,$P$17,$P$18,$P$17,$C41,$P$17,$D41,$O$18)</f>
        <v>ASSY-MM-X-2WDE</v>
      </c>
      <c r="Q41"/>
      <c r="R41" s="460">
        <v>36.5</v>
      </c>
      <c r="S41" s="460">
        <v>45</v>
      </c>
      <c r="T41" s="988">
        <f>IFERROR(((S41-R41)/R41),0)</f>
        <v>0.23287671232876711</v>
      </c>
      <c r="U41" s="481">
        <f t="shared" ref="U41:U47" si="25">IFERROR(((1-U$39)*R41),0)</f>
        <v>29.200000000000003</v>
      </c>
      <c r="V41" s="84"/>
      <c r="W41" s="987">
        <f t="shared" ref="W41:W47" si="26">PRODUCT((1-$W$39),S41)</f>
        <v>36</v>
      </c>
      <c r="X41" s="669">
        <f t="shared" ref="X41:X47" si="27">((W41-U41)/U41)</f>
        <v>0.232876712328767</v>
      </c>
      <c r="Y41"/>
      <c r="Z41" s="460">
        <v>60.75</v>
      </c>
      <c r="AA41" s="460">
        <v>74</v>
      </c>
      <c r="AB41" s="632">
        <f t="shared" ref="AB41:AB47" si="28">IFERROR(((AA41-Z41)/Z41),0)</f>
        <v>0.21810699588477367</v>
      </c>
      <c r="AC41" s="481">
        <f t="shared" ref="AC41:AC47" si="29">IFERROR(((1-AC$39)*Z41),0)</f>
        <v>48.6</v>
      </c>
      <c r="AD41" s="84"/>
      <c r="AE41" s="987">
        <f t="shared" ref="AE41:AE47" si="30">PRODUCT((1-$AE$39),AA41)</f>
        <v>59.2</v>
      </c>
      <c r="AF41" s="669">
        <f t="shared" ref="AF41:AF47" si="31">((AE41-AC41)/AC41)</f>
        <v>0.2181069958847737</v>
      </c>
      <c r="AG41" s="84"/>
      <c r="AH41" s="83"/>
      <c r="AI41" s="270" t="str">
        <f t="shared" si="20"/>
        <v>.076" - .1809"</v>
      </c>
      <c r="AJ41" s="271" t="str">
        <f t="shared" ref="AJ41:AJ47" si="32">_xlfn.CONCAT(TEXT($I41,"#.000")," - ",TEXT($J41,"0.000"),"mm")</f>
        <v>1.929 - 4.595mm</v>
      </c>
      <c r="AK41" s="272" t="str">
        <f t="shared" ref="AK41:AK47" si="33">$D41</f>
        <v>2W</v>
      </c>
      <c r="AL41" s="273">
        <f t="shared" si="21"/>
        <v>45</v>
      </c>
      <c r="AM41" s="274">
        <f t="shared" si="22"/>
        <v>74</v>
      </c>
      <c r="AN41" s="9"/>
      <c r="AO41" s="9"/>
    </row>
    <row r="42" spans="1:41" s="56" customFormat="1" ht="15.75" x14ac:dyDescent="0.25">
      <c r="A42"/>
      <c r="B42"/>
      <c r="C42" s="83" t="str">
        <f t="shared" ref="C42:C47" si="34">C41</f>
        <v>X</v>
      </c>
      <c r="D42" s="84" t="s">
        <v>480</v>
      </c>
      <c r="E42" s="84"/>
      <c r="F42" s="60">
        <v>0.18099999999999999</v>
      </c>
      <c r="G42" s="60">
        <v>0.28189999999999998</v>
      </c>
      <c r="H42" s="531"/>
      <c r="I42" s="535">
        <f t="shared" ref="I42:I47" si="35">J41+$J$38</f>
        <v>4.5958600000000001</v>
      </c>
      <c r="J42" s="535">
        <f t="shared" si="19"/>
        <v>7.1602599999999992</v>
      </c>
      <c r="K42"/>
      <c r="L42"/>
      <c r="M42"/>
      <c r="N42"/>
      <c r="O42" t="str">
        <f t="shared" si="23"/>
        <v>ASSY-X-3WDE</v>
      </c>
      <c r="P42" t="str">
        <f t="shared" si="24"/>
        <v>ASSY-MM-X-3WDE</v>
      </c>
      <c r="Q42"/>
      <c r="R42" s="460">
        <v>39</v>
      </c>
      <c r="S42" s="460">
        <v>47.5</v>
      </c>
      <c r="T42" s="988">
        <f t="shared" ref="T42:T47" si="36">IFERROR(((S42-R42)/R42),0)</f>
        <v>0.21794871794871795</v>
      </c>
      <c r="U42" s="481">
        <f t="shared" si="25"/>
        <v>31.200000000000003</v>
      </c>
      <c r="V42" s="84"/>
      <c r="W42" s="987">
        <f t="shared" si="26"/>
        <v>38</v>
      </c>
      <c r="X42" s="669">
        <f t="shared" si="27"/>
        <v>0.21794871794871784</v>
      </c>
      <c r="Y42"/>
      <c r="Z42" s="460">
        <v>62.75</v>
      </c>
      <c r="AA42" s="460">
        <v>75.5</v>
      </c>
      <c r="AB42" s="632">
        <f t="shared" si="28"/>
        <v>0.20318725099601595</v>
      </c>
      <c r="AC42" s="481">
        <f t="shared" si="29"/>
        <v>50.2</v>
      </c>
      <c r="AD42" s="84"/>
      <c r="AE42" s="987">
        <f t="shared" si="30"/>
        <v>60.400000000000006</v>
      </c>
      <c r="AF42" s="669">
        <f t="shared" si="31"/>
        <v>0.20318725099601598</v>
      </c>
      <c r="AG42" s="84"/>
      <c r="AH42" s="83"/>
      <c r="AI42" s="265" t="str">
        <f t="shared" si="20"/>
        <v>.181" - .2819"</v>
      </c>
      <c r="AJ42" s="266" t="str">
        <f t="shared" si="32"/>
        <v>4.596 - 7.160mm</v>
      </c>
      <c r="AK42" s="267" t="str">
        <f t="shared" si="33"/>
        <v>3W</v>
      </c>
      <c r="AL42" s="268">
        <f t="shared" si="21"/>
        <v>47.5</v>
      </c>
      <c r="AM42" s="269">
        <f t="shared" si="22"/>
        <v>75.5</v>
      </c>
      <c r="AN42" s="9"/>
      <c r="AO42" s="9"/>
    </row>
    <row r="43" spans="1:41" s="56" customFormat="1" ht="15.75" x14ac:dyDescent="0.25">
      <c r="A43"/>
      <c r="B43"/>
      <c r="C43" s="83" t="str">
        <f t="shared" si="34"/>
        <v>X</v>
      </c>
      <c r="D43" s="84" t="s">
        <v>481</v>
      </c>
      <c r="E43" s="84"/>
      <c r="F43" s="60">
        <v>0.28199999999999997</v>
      </c>
      <c r="G43" s="60">
        <v>0.40689999999999998</v>
      </c>
      <c r="H43" s="531"/>
      <c r="I43" s="535">
        <f t="shared" si="35"/>
        <v>7.1612599999999995</v>
      </c>
      <c r="J43" s="535">
        <f t="shared" si="19"/>
        <v>10.33526</v>
      </c>
      <c r="K43"/>
      <c r="L43"/>
      <c r="M43"/>
      <c r="N43"/>
      <c r="O43" t="str">
        <f t="shared" si="23"/>
        <v>ASSY-X-4WDE</v>
      </c>
      <c r="P43" t="str">
        <f t="shared" si="24"/>
        <v>ASSY-MM-X-4WDE</v>
      </c>
      <c r="Q43"/>
      <c r="R43" s="460">
        <v>41.25</v>
      </c>
      <c r="S43" s="460">
        <v>50</v>
      </c>
      <c r="T43" s="988">
        <f t="shared" si="36"/>
        <v>0.21212121212121213</v>
      </c>
      <c r="U43" s="481">
        <f t="shared" si="25"/>
        <v>33</v>
      </c>
      <c r="V43" s="84"/>
      <c r="W43" s="987">
        <f t="shared" si="26"/>
        <v>40</v>
      </c>
      <c r="X43" s="669">
        <f t="shared" si="27"/>
        <v>0.21212121212121213</v>
      </c>
      <c r="Y43"/>
      <c r="Z43" s="460">
        <v>66.25</v>
      </c>
      <c r="AA43" s="460">
        <v>78</v>
      </c>
      <c r="AB43" s="632">
        <f t="shared" si="28"/>
        <v>0.17735849056603772</v>
      </c>
      <c r="AC43" s="481">
        <f t="shared" si="29"/>
        <v>53</v>
      </c>
      <c r="AD43" s="84"/>
      <c r="AE43" s="987">
        <f t="shared" si="30"/>
        <v>62.400000000000006</v>
      </c>
      <c r="AF43" s="669">
        <f t="shared" si="31"/>
        <v>0.17735849056603784</v>
      </c>
      <c r="AG43" s="84"/>
      <c r="AH43" s="83"/>
      <c r="AI43" s="270" t="str">
        <f t="shared" si="20"/>
        <v>.282" - .4069"</v>
      </c>
      <c r="AJ43" s="271" t="str">
        <f t="shared" si="32"/>
        <v>7.161 - 10.335mm</v>
      </c>
      <c r="AK43" s="272" t="str">
        <f t="shared" si="33"/>
        <v>4W</v>
      </c>
      <c r="AL43" s="275">
        <f t="shared" si="21"/>
        <v>50</v>
      </c>
      <c r="AM43" s="274">
        <f t="shared" si="22"/>
        <v>78</v>
      </c>
      <c r="AN43" s="9"/>
      <c r="AO43" s="9"/>
    </row>
    <row r="44" spans="1:41" s="56" customFormat="1" ht="15.75" x14ac:dyDescent="0.25">
      <c r="A44"/>
      <c r="B44"/>
      <c r="C44" s="83" t="str">
        <f t="shared" si="34"/>
        <v>X</v>
      </c>
      <c r="D44" s="84" t="s">
        <v>482</v>
      </c>
      <c r="E44" s="84"/>
      <c r="F44" s="60">
        <v>0.40699999999999997</v>
      </c>
      <c r="G44" s="60">
        <v>0.51090000000000002</v>
      </c>
      <c r="H44" s="531"/>
      <c r="I44" s="535">
        <f t="shared" si="35"/>
        <v>10.336259999999999</v>
      </c>
      <c r="J44" s="535">
        <f t="shared" si="19"/>
        <v>12.97686</v>
      </c>
      <c r="K44"/>
      <c r="L44"/>
      <c r="M44"/>
      <c r="N44"/>
      <c r="O44" t="str">
        <f t="shared" si="23"/>
        <v>ASSY-X-5WDE</v>
      </c>
      <c r="P44" t="str">
        <f t="shared" si="24"/>
        <v>ASSY-MM-X-5WDE</v>
      </c>
      <c r="Q44"/>
      <c r="R44" s="460">
        <v>45</v>
      </c>
      <c r="S44" s="460">
        <v>53.5</v>
      </c>
      <c r="T44" s="988">
        <f t="shared" si="36"/>
        <v>0.18888888888888888</v>
      </c>
      <c r="U44" s="481">
        <f t="shared" si="25"/>
        <v>36</v>
      </c>
      <c r="V44" s="84"/>
      <c r="W44" s="987">
        <f t="shared" si="26"/>
        <v>42.800000000000004</v>
      </c>
      <c r="X44" s="669">
        <f t="shared" si="27"/>
        <v>0.18888888888888899</v>
      </c>
      <c r="Y44"/>
      <c r="Z44" s="460">
        <v>69.5</v>
      </c>
      <c r="AA44" s="460">
        <v>84</v>
      </c>
      <c r="AB44" s="632">
        <f t="shared" si="28"/>
        <v>0.20863309352517986</v>
      </c>
      <c r="AC44" s="481">
        <f t="shared" si="29"/>
        <v>55.6</v>
      </c>
      <c r="AD44" s="84"/>
      <c r="AE44" s="987">
        <f t="shared" si="30"/>
        <v>67.2</v>
      </c>
      <c r="AF44" s="669">
        <f t="shared" si="31"/>
        <v>0.20863309352517986</v>
      </c>
      <c r="AG44" s="84"/>
      <c r="AH44" s="83"/>
      <c r="AI44" s="265" t="str">
        <f t="shared" si="20"/>
        <v>.407" - .5109"</v>
      </c>
      <c r="AJ44" s="266" t="str">
        <f t="shared" si="32"/>
        <v>10.336 - 12.977mm</v>
      </c>
      <c r="AK44" s="267" t="str">
        <f t="shared" si="33"/>
        <v>5W</v>
      </c>
      <c r="AL44" s="268">
        <f t="shared" si="21"/>
        <v>53.5</v>
      </c>
      <c r="AM44" s="269">
        <f t="shared" si="22"/>
        <v>84</v>
      </c>
      <c r="AN44" s="9"/>
      <c r="AO44" s="9"/>
    </row>
    <row r="45" spans="1:41" s="56" customFormat="1" ht="15.75" x14ac:dyDescent="0.25">
      <c r="A45"/>
      <c r="B45"/>
      <c r="C45" s="83" t="str">
        <f t="shared" si="34"/>
        <v>X</v>
      </c>
      <c r="D45" s="84" t="s">
        <v>483</v>
      </c>
      <c r="E45" s="84"/>
      <c r="F45" s="60">
        <v>0.51100000000000001</v>
      </c>
      <c r="G45" s="60">
        <v>0.63590000000000002</v>
      </c>
      <c r="H45" s="531"/>
      <c r="I45" s="535">
        <f t="shared" si="35"/>
        <v>12.97786</v>
      </c>
      <c r="J45" s="535">
        <f t="shared" si="19"/>
        <v>16.151859999999999</v>
      </c>
      <c r="K45"/>
      <c r="L45"/>
      <c r="M45"/>
      <c r="N45"/>
      <c r="O45" t="str">
        <f t="shared" si="23"/>
        <v>ASSY-X-6WDE</v>
      </c>
      <c r="P45" t="str">
        <f t="shared" si="24"/>
        <v>ASSY-MM-X-6WDE</v>
      </c>
      <c r="Q45"/>
      <c r="R45" s="460">
        <v>51.75</v>
      </c>
      <c r="S45" s="460">
        <v>62</v>
      </c>
      <c r="T45" s="988">
        <f t="shared" si="36"/>
        <v>0.19806763285024154</v>
      </c>
      <c r="U45" s="481">
        <f t="shared" si="25"/>
        <v>41.400000000000006</v>
      </c>
      <c r="V45" s="84"/>
      <c r="W45" s="987">
        <f t="shared" si="26"/>
        <v>49.6</v>
      </c>
      <c r="X45" s="669">
        <f t="shared" si="27"/>
        <v>0.19806763285024143</v>
      </c>
      <c r="Y45"/>
      <c r="Z45" s="460">
        <v>80</v>
      </c>
      <c r="AA45" s="460">
        <v>92</v>
      </c>
      <c r="AB45" s="632">
        <f t="shared" si="28"/>
        <v>0.15</v>
      </c>
      <c r="AC45" s="481">
        <f t="shared" si="29"/>
        <v>64</v>
      </c>
      <c r="AD45" s="84"/>
      <c r="AE45" s="987">
        <f t="shared" si="30"/>
        <v>73.600000000000009</v>
      </c>
      <c r="AF45" s="669">
        <f t="shared" si="31"/>
        <v>0.15000000000000013</v>
      </c>
      <c r="AG45" s="84"/>
      <c r="AH45" s="83"/>
      <c r="AI45" s="270" t="str">
        <f t="shared" si="20"/>
        <v>.511" - .6359"</v>
      </c>
      <c r="AJ45" s="271" t="str">
        <f t="shared" si="32"/>
        <v>12.978 - 16.152mm</v>
      </c>
      <c r="AK45" s="272" t="str">
        <f t="shared" si="33"/>
        <v>6W</v>
      </c>
      <c r="AL45" s="275">
        <f t="shared" si="21"/>
        <v>62</v>
      </c>
      <c r="AM45" s="274">
        <f t="shared" si="22"/>
        <v>92</v>
      </c>
      <c r="AN45" s="9"/>
      <c r="AO45" s="9"/>
    </row>
    <row r="46" spans="1:41" s="56" customFormat="1" ht="15.75" x14ac:dyDescent="0.25">
      <c r="A46"/>
      <c r="B46"/>
      <c r="C46" s="83" t="str">
        <f t="shared" si="34"/>
        <v>X</v>
      </c>
      <c r="D46" s="84" t="s">
        <v>484</v>
      </c>
      <c r="E46" s="84"/>
      <c r="F46" s="60">
        <v>0.63600000000000001</v>
      </c>
      <c r="G46" s="60">
        <v>0.76090000000000002</v>
      </c>
      <c r="H46" s="531"/>
      <c r="I46" s="535">
        <f t="shared" si="35"/>
        <v>16.15286</v>
      </c>
      <c r="J46" s="535">
        <f t="shared" si="19"/>
        <v>19.32686</v>
      </c>
      <c r="K46"/>
      <c r="L46"/>
      <c r="M46"/>
      <c r="N46"/>
      <c r="O46" t="str">
        <f t="shared" si="23"/>
        <v>ASSY-X-7WDE</v>
      </c>
      <c r="P46" t="str">
        <f t="shared" si="24"/>
        <v>ASSY-MM-X-7WDE</v>
      </c>
      <c r="Q46"/>
      <c r="R46" s="460">
        <v>61</v>
      </c>
      <c r="S46" s="460">
        <v>70</v>
      </c>
      <c r="T46" s="988">
        <f t="shared" si="36"/>
        <v>0.14754098360655737</v>
      </c>
      <c r="U46" s="481">
        <f t="shared" si="25"/>
        <v>48.800000000000004</v>
      </c>
      <c r="V46" s="84"/>
      <c r="W46" s="987">
        <f t="shared" si="26"/>
        <v>56</v>
      </c>
      <c r="X46" s="669">
        <f t="shared" si="27"/>
        <v>0.14754098360655726</v>
      </c>
      <c r="Y46"/>
      <c r="Z46" s="460">
        <v>94.5</v>
      </c>
      <c r="AA46" s="460">
        <v>108</v>
      </c>
      <c r="AB46" s="632">
        <f t="shared" si="28"/>
        <v>0.14285714285714285</v>
      </c>
      <c r="AC46" s="481">
        <f t="shared" si="29"/>
        <v>75.600000000000009</v>
      </c>
      <c r="AD46" s="84"/>
      <c r="AE46" s="987">
        <f t="shared" si="30"/>
        <v>86.4</v>
      </c>
      <c r="AF46" s="669">
        <f t="shared" si="31"/>
        <v>0.14285714285714279</v>
      </c>
      <c r="AG46" s="84"/>
      <c r="AH46" s="83"/>
      <c r="AI46" s="265" t="str">
        <f t="shared" si="20"/>
        <v>.636" - .7609"</v>
      </c>
      <c r="AJ46" s="266" t="str">
        <f t="shared" si="32"/>
        <v>16.153 - 19.327mm</v>
      </c>
      <c r="AK46" s="267" t="str">
        <f t="shared" si="33"/>
        <v>7W</v>
      </c>
      <c r="AL46" s="268">
        <f t="shared" si="21"/>
        <v>70</v>
      </c>
      <c r="AM46" s="269">
        <f t="shared" si="22"/>
        <v>108</v>
      </c>
      <c r="AN46" s="9"/>
      <c r="AO46" s="9"/>
    </row>
    <row r="47" spans="1:41" s="56" customFormat="1" ht="16.5" thickBot="1" x14ac:dyDescent="0.3">
      <c r="A47"/>
      <c r="B47"/>
      <c r="C47" s="83" t="str">
        <f t="shared" si="34"/>
        <v>X</v>
      </c>
      <c r="D47" s="84" t="s">
        <v>485</v>
      </c>
      <c r="E47" s="84"/>
      <c r="F47" s="60">
        <v>0.76100000000000001</v>
      </c>
      <c r="G47" s="588">
        <v>1.0149999999999999</v>
      </c>
      <c r="H47" s="531"/>
      <c r="I47" s="535">
        <f t="shared" si="35"/>
        <v>19.327860000000001</v>
      </c>
      <c r="J47" s="589">
        <v>25.65</v>
      </c>
      <c r="K47"/>
      <c r="L47"/>
      <c r="M47"/>
      <c r="N47"/>
      <c r="O47" t="str">
        <f t="shared" si="23"/>
        <v>ASSY-X-8WDE</v>
      </c>
      <c r="P47" t="str">
        <f t="shared" si="24"/>
        <v>ASSY-MM-X-8WDE</v>
      </c>
      <c r="Q47"/>
      <c r="R47" s="460">
        <v>73.25</v>
      </c>
      <c r="S47" s="460">
        <v>82</v>
      </c>
      <c r="T47" s="988">
        <f t="shared" si="36"/>
        <v>0.11945392491467577</v>
      </c>
      <c r="U47" s="481">
        <f t="shared" si="25"/>
        <v>58.6</v>
      </c>
      <c r="V47" s="84"/>
      <c r="W47" s="987">
        <f t="shared" si="26"/>
        <v>65.600000000000009</v>
      </c>
      <c r="X47" s="669">
        <f t="shared" si="27"/>
        <v>0.11945392491467588</v>
      </c>
      <c r="Y47"/>
      <c r="Z47" s="460">
        <v>110</v>
      </c>
      <c r="AA47" s="460">
        <v>124</v>
      </c>
      <c r="AB47" s="632">
        <f t="shared" si="28"/>
        <v>0.12727272727272726</v>
      </c>
      <c r="AC47" s="481">
        <f t="shared" si="29"/>
        <v>88</v>
      </c>
      <c r="AD47" s="84"/>
      <c r="AE47" s="987">
        <f t="shared" si="30"/>
        <v>99.2</v>
      </c>
      <c r="AF47" s="669">
        <f t="shared" si="31"/>
        <v>0.12727272727272732</v>
      </c>
      <c r="AG47" s="84"/>
      <c r="AH47" s="83"/>
      <c r="AI47" s="276" t="str">
        <f t="shared" si="20"/>
        <v>.761" - 1.015"</v>
      </c>
      <c r="AJ47" s="277" t="str">
        <f t="shared" si="32"/>
        <v>19.328 - 25.650mm</v>
      </c>
      <c r="AK47" s="278" t="str">
        <f t="shared" si="33"/>
        <v>8W</v>
      </c>
      <c r="AL47" s="279">
        <f t="shared" si="21"/>
        <v>82</v>
      </c>
      <c r="AM47" s="280">
        <f t="shared" si="22"/>
        <v>124</v>
      </c>
      <c r="AN47" s="9"/>
      <c r="AO47" s="9"/>
    </row>
    <row r="48" spans="1:41" s="56" customFormat="1" ht="15.75" x14ac:dyDescent="0.25">
      <c r="A48"/>
      <c r="B48"/>
      <c r="C48" s="83"/>
      <c r="D48" s="84"/>
      <c r="E48" s="84"/>
      <c r="F48" s="532"/>
      <c r="G48" s="532"/>
      <c r="H48" s="531"/>
      <c r="I48" s="533"/>
      <c r="J48" s="533"/>
      <c r="K48"/>
      <c r="L48"/>
      <c r="M48"/>
      <c r="N48"/>
      <c r="O48"/>
      <c r="P48"/>
      <c r="Q48"/>
      <c r="R48" s="36"/>
      <c r="S48" s="36"/>
      <c r="T48"/>
      <c r="U48"/>
      <c r="V48"/>
      <c r="W48"/>
      <c r="X48"/>
      <c r="Y48"/>
      <c r="Z48" s="36"/>
      <c r="AA48" s="36"/>
      <c r="AB48"/>
      <c r="AC48"/>
      <c r="AD48" s="84"/>
      <c r="AE48"/>
      <c r="AF48"/>
      <c r="AG48" s="84"/>
      <c r="AH48" s="83"/>
      <c r="AI48" s="83"/>
      <c r="AJ48" s="83"/>
      <c r="AK48" s="83"/>
      <c r="AL48" s="93"/>
      <c r="AN48" s="9"/>
      <c r="AO48" s="9"/>
    </row>
    <row r="49" spans="1:41" s="56" customFormat="1" ht="6" customHeight="1" thickBot="1" x14ac:dyDescent="0.3">
      <c r="A49"/>
      <c r="B49"/>
      <c r="C49" s="83"/>
      <c r="D49" s="84"/>
      <c r="E49" s="84"/>
      <c r="F49" s="534"/>
      <c r="G49" s="534"/>
      <c r="H49" s="531"/>
      <c r="I49" s="531"/>
      <c r="J49" s="531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 s="36"/>
      <c r="AA49" s="36"/>
      <c r="AB49"/>
      <c r="AC49"/>
      <c r="AD49" s="84"/>
      <c r="AE49"/>
      <c r="AF49"/>
      <c r="AG49" s="84"/>
      <c r="AH49" s="83"/>
      <c r="AI49" s="83"/>
      <c r="AJ49" s="83"/>
      <c r="AK49" s="83"/>
      <c r="AL49" s="89"/>
      <c r="AN49" s="9"/>
      <c r="AO49" s="9"/>
    </row>
    <row r="50" spans="1:41" s="56" customFormat="1" ht="15.75" x14ac:dyDescent="0.25">
      <c r="A50"/>
      <c r="B50"/>
      <c r="C50" s="83" t="s">
        <v>198</v>
      </c>
      <c r="D50" s="84"/>
      <c r="E50" s="84"/>
      <c r="F50" s="534"/>
      <c r="G50" s="534"/>
      <c r="H50" s="531"/>
      <c r="I50" s="537">
        <v>2.0000000000000002E-5</v>
      </c>
      <c r="J50" s="537">
        <v>5.0000000000000001E-4</v>
      </c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 s="84"/>
      <c r="AE50"/>
      <c r="AF50"/>
      <c r="AG50" s="84"/>
      <c r="AH50" s="83"/>
      <c r="AI50" s="767" t="str">
        <f>_xlfn.CONCAT("Class ",$C50,"  (",TEXT($I50,".0000#"),""""," or ",TEXT($J50,".000#"),"mm)")</f>
        <v>Class XX  (.00002" or .0005mm)</v>
      </c>
      <c r="AJ50" s="772"/>
      <c r="AK50" s="772"/>
      <c r="AL50" s="772"/>
      <c r="AM50" s="773"/>
      <c r="AN50" s="9"/>
      <c r="AO50" s="9"/>
    </row>
    <row r="51" spans="1:41" s="56" customFormat="1" ht="18" x14ac:dyDescent="0.4">
      <c r="A51"/>
      <c r="B51"/>
      <c r="C51" s="83"/>
      <c r="D51" s="84"/>
      <c r="E51" s="84"/>
      <c r="F51" s="534"/>
      <c r="G51" s="534"/>
      <c r="H51" s="531"/>
      <c r="I51" s="531"/>
      <c r="J51" s="531"/>
      <c r="K51"/>
      <c r="L51"/>
      <c r="M51"/>
      <c r="N51"/>
      <c r="O51"/>
      <c r="P51"/>
      <c r="Q51"/>
      <c r="R51" s="17" t="s">
        <v>185</v>
      </c>
      <c r="S51" s="17"/>
      <c r="T51" s="17"/>
      <c r="V51" s="488"/>
      <c r="W51" s="488"/>
      <c r="X51" s="488"/>
      <c r="Y51"/>
      <c r="Z51" s="17" t="s">
        <v>199</v>
      </c>
      <c r="AA51" s="17"/>
      <c r="AB51" s="17"/>
      <c r="AD51" s="84"/>
      <c r="AE51"/>
      <c r="AF51"/>
      <c r="AG51" s="84"/>
      <c r="AH51" s="83"/>
      <c r="AI51" s="571" t="s">
        <v>3</v>
      </c>
      <c r="AJ51" s="261"/>
      <c r="AK51" s="1065" t="s">
        <v>399</v>
      </c>
      <c r="AL51" s="570" t="s">
        <v>573</v>
      </c>
      <c r="AM51" s="262"/>
      <c r="AN51" s="9"/>
      <c r="AO51" s="9"/>
    </row>
    <row r="52" spans="1:41" s="56" customFormat="1" ht="15.75" x14ac:dyDescent="0.25">
      <c r="A52"/>
      <c r="B52"/>
      <c r="C52" s="83"/>
      <c r="D52" s="84"/>
      <c r="E52" s="84"/>
      <c r="F52" s="91" t="s">
        <v>581</v>
      </c>
      <c r="G52" s="91" t="s">
        <v>582</v>
      </c>
      <c r="H52" s="526"/>
      <c r="I52" s="91" t="s">
        <v>581</v>
      </c>
      <c r="J52" s="91" t="s">
        <v>582</v>
      </c>
      <c r="K52"/>
      <c r="L52"/>
      <c r="M52"/>
      <c r="N52"/>
      <c r="O52"/>
      <c r="P52"/>
      <c r="Q52"/>
      <c r="R52" s="344" t="s">
        <v>632</v>
      </c>
      <c r="S52" s="344" t="s">
        <v>633</v>
      </c>
      <c r="T52" s="732" t="s">
        <v>636</v>
      </c>
      <c r="U52" s="479">
        <v>0.2</v>
      </c>
      <c r="V52" s="11"/>
      <c r="W52" s="479">
        <v>0.2</v>
      </c>
      <c r="X52" s="732" t="s">
        <v>636</v>
      </c>
      <c r="Y52"/>
      <c r="Z52" s="344" t="s">
        <v>632</v>
      </c>
      <c r="AA52" s="344" t="s">
        <v>633</v>
      </c>
      <c r="AB52" s="732" t="s">
        <v>636</v>
      </c>
      <c r="AC52" s="479">
        <v>0.2</v>
      </c>
      <c r="AD52" s="84"/>
      <c r="AE52" s="479">
        <v>0.2</v>
      </c>
      <c r="AF52" s="732" t="s">
        <v>636</v>
      </c>
      <c r="AG52" s="84"/>
      <c r="AH52" s="83"/>
      <c r="AI52" s="263" t="s">
        <v>4</v>
      </c>
      <c r="AJ52" s="264" t="s">
        <v>5</v>
      </c>
      <c r="AK52" s="1066"/>
      <c r="AL52" s="573" t="s">
        <v>185</v>
      </c>
      <c r="AM52" s="574" t="s">
        <v>199</v>
      </c>
      <c r="AN52" s="9"/>
      <c r="AO52" s="9"/>
    </row>
    <row r="53" spans="1:41" s="56" customFormat="1" ht="15.75" x14ac:dyDescent="0.25">
      <c r="A53"/>
      <c r="B53"/>
      <c r="C53" s="89" t="s">
        <v>198</v>
      </c>
      <c r="D53" s="84" t="s">
        <v>478</v>
      </c>
      <c r="E53" s="89"/>
      <c r="F53" s="72">
        <f>F$40</f>
        <v>5.0000000000000001E-3</v>
      </c>
      <c r="G53" s="72">
        <f>G$40</f>
        <v>7.5899999999999995E-2</v>
      </c>
      <c r="H53" s="530"/>
      <c r="I53" s="535">
        <f>I$40</f>
        <v>0.22</v>
      </c>
      <c r="J53" s="535">
        <f>J$40</f>
        <v>1.9278599999999997</v>
      </c>
      <c r="K53"/>
      <c r="L53"/>
      <c r="M53"/>
      <c r="N53"/>
      <c r="O53" t="str">
        <f>_xlfn.CONCAT(O$17,P$17,$C53,P$17,$D53,$O$18)</f>
        <v>ASSY-XX-1WDE</v>
      </c>
      <c r="P53" t="str">
        <f>_xlfn.CONCAT(O$17,$P$17,$P$18,$P$17,$C53,$P$17,$D53,$O$18)</f>
        <v>ASSY-MM-XX-1WDE</v>
      </c>
      <c r="Q53"/>
      <c r="R53" s="460">
        <v>63</v>
      </c>
      <c r="S53" s="460">
        <v>84</v>
      </c>
      <c r="T53" s="632">
        <f>IFERROR(((S53-R53)/R53),0)</f>
        <v>0.33333333333333331</v>
      </c>
      <c r="U53" s="481">
        <f>IFERROR(((1-U$52)*R53),0)</f>
        <v>50.400000000000006</v>
      </c>
      <c r="V53" s="89"/>
      <c r="W53" s="987">
        <f>PRODUCT((1-$W$52),S53)</f>
        <v>67.2</v>
      </c>
      <c r="X53" s="669">
        <f>((W53-U53)/U53)</f>
        <v>0.33333333333333326</v>
      </c>
      <c r="Y53"/>
      <c r="Z53" s="460">
        <v>115</v>
      </c>
      <c r="AA53" s="460">
        <v>180</v>
      </c>
      <c r="AB53" s="632">
        <f>IFERROR(((AA53-Z53)/Z53),0)</f>
        <v>0.56521739130434778</v>
      </c>
      <c r="AC53" s="481">
        <f>IFERROR(((1-AC$52)*Z53),0)</f>
        <v>92</v>
      </c>
      <c r="AD53" s="89"/>
      <c r="AE53" s="987">
        <f>PRODUCT((1-$AE$52),AA53)</f>
        <v>144</v>
      </c>
      <c r="AF53" s="669">
        <f>((AE53-AC53)/AC53)</f>
        <v>0.56521739130434778</v>
      </c>
      <c r="AG53" s="89"/>
      <c r="AH53" s="83"/>
      <c r="AI53" s="265" t="str">
        <f t="shared" ref="AI53:AI60" si="37">_xlfn.CONCAT(TEXT($F53,"#.000#"),""""," - ",TEXT($G53,"#.000#"),"""")</f>
        <v>.005" - .0759"</v>
      </c>
      <c r="AJ53" s="266" t="str">
        <f t="shared" ref="AJ53:AJ60" si="38">_xlfn.CONCAT(TEXT($I53,"#.000")," - ",TEXT($J53,"0.000"),"mm")</f>
        <v>.220 - 1.928mm</v>
      </c>
      <c r="AK53" s="267" t="str">
        <f>$D53</f>
        <v>1W</v>
      </c>
      <c r="AL53" s="268">
        <f t="shared" ref="AL53:AL60" si="39">S53</f>
        <v>84</v>
      </c>
      <c r="AM53" s="269">
        <f>AA53</f>
        <v>180</v>
      </c>
      <c r="AN53" s="9"/>
      <c r="AO53" s="9"/>
    </row>
    <row r="54" spans="1:41" s="56" customFormat="1" ht="15.75" x14ac:dyDescent="0.25">
      <c r="A54"/>
      <c r="B54"/>
      <c r="C54" s="83" t="str">
        <f>C53</f>
        <v>XX</v>
      </c>
      <c r="D54" s="84" t="s">
        <v>479</v>
      </c>
      <c r="E54" s="84"/>
      <c r="F54" s="72">
        <f>F$41</f>
        <v>7.5999999999999998E-2</v>
      </c>
      <c r="G54" s="72">
        <f>G$41</f>
        <v>0.18090000000000001</v>
      </c>
      <c r="H54" s="531"/>
      <c r="I54" s="535">
        <f>I$41</f>
        <v>1.9288599999999996</v>
      </c>
      <c r="J54" s="535">
        <f>J$41</f>
        <v>4.5948599999999997</v>
      </c>
      <c r="K54"/>
      <c r="L54"/>
      <c r="M54"/>
      <c r="N54"/>
      <c r="O54" t="str">
        <f t="shared" ref="O54:O60" si="40">_xlfn.CONCAT(O$17,P$17,$C54,P$17,$D54,$O$18)</f>
        <v>ASSY-XX-2WDE</v>
      </c>
      <c r="P54" t="str">
        <f t="shared" ref="P54:P60" si="41">_xlfn.CONCAT(O$17,$P$17,$P$18,$P$17,$C54,$P$17,$D54,$O$18)</f>
        <v>ASSY-MM-XX-2WDE</v>
      </c>
      <c r="Q54"/>
      <c r="R54" s="460">
        <v>65.5</v>
      </c>
      <c r="S54" s="460">
        <v>70</v>
      </c>
      <c r="T54" s="632">
        <f t="shared" ref="T54:T60" si="42">IFERROR(((S54-R54)/R54),0)</f>
        <v>6.8702290076335881E-2</v>
      </c>
      <c r="U54" s="481">
        <f t="shared" ref="U54:U60" si="43">IFERROR(((1-U$52)*R54),0)</f>
        <v>52.400000000000006</v>
      </c>
      <c r="V54" s="84"/>
      <c r="W54" s="987">
        <f t="shared" ref="W54:W60" si="44">PRODUCT((1-$W$52),S54)</f>
        <v>56</v>
      </c>
      <c r="X54" s="669">
        <f t="shared" ref="X54:X60" si="45">((W54-U54)/U54)</f>
        <v>6.8702290076335756E-2</v>
      </c>
      <c r="Y54"/>
      <c r="Z54" s="460">
        <v>120.5</v>
      </c>
      <c r="AA54" s="460">
        <v>152</v>
      </c>
      <c r="AB54" s="632">
        <f t="shared" ref="AB54:AB60" si="46">IFERROR(((AA54-Z54)/Z54),0)</f>
        <v>0.26141078838174275</v>
      </c>
      <c r="AC54" s="481">
        <f t="shared" ref="AC54:AC60" si="47">IFERROR(((1-AC$52)*Z54),0)</f>
        <v>96.4</v>
      </c>
      <c r="AD54" s="84"/>
      <c r="AE54" s="987">
        <f t="shared" ref="AE54:AE60" si="48">PRODUCT((1-$AE$52),AA54)</f>
        <v>121.60000000000001</v>
      </c>
      <c r="AF54" s="669">
        <f t="shared" ref="AF54:AF60" si="49">((AE54-AC54)/AC54)</f>
        <v>0.26141078838174275</v>
      </c>
      <c r="AG54" s="84"/>
      <c r="AH54" s="83"/>
      <c r="AI54" s="270" t="str">
        <f t="shared" si="37"/>
        <v>.076" - .1809"</v>
      </c>
      <c r="AJ54" s="271" t="str">
        <f t="shared" si="38"/>
        <v>1.929 - 4.595mm</v>
      </c>
      <c r="AK54" s="272" t="str">
        <f t="shared" ref="AK54:AK60" si="50">$D54</f>
        <v>2W</v>
      </c>
      <c r="AL54" s="273">
        <f t="shared" si="39"/>
        <v>70</v>
      </c>
      <c r="AM54" s="274">
        <f t="shared" ref="AM54:AM60" si="51">AA54</f>
        <v>152</v>
      </c>
      <c r="AN54" s="9"/>
      <c r="AO54" s="9"/>
    </row>
    <row r="55" spans="1:41" s="56" customFormat="1" ht="15.75" x14ac:dyDescent="0.25">
      <c r="A55"/>
      <c r="B55"/>
      <c r="C55" s="83" t="str">
        <f t="shared" ref="C55:C60" si="52">C54</f>
        <v>XX</v>
      </c>
      <c r="D55" s="84" t="s">
        <v>480</v>
      </c>
      <c r="E55" s="84"/>
      <c r="F55" s="72">
        <f>F$42</f>
        <v>0.18099999999999999</v>
      </c>
      <c r="G55" s="72">
        <f>G$42</f>
        <v>0.28189999999999998</v>
      </c>
      <c r="H55" s="531"/>
      <c r="I55" s="535">
        <f>I$42</f>
        <v>4.5958600000000001</v>
      </c>
      <c r="J55" s="535">
        <f>J$42</f>
        <v>7.1602599999999992</v>
      </c>
      <c r="K55"/>
      <c r="L55"/>
      <c r="M55"/>
      <c r="N55"/>
      <c r="O55" t="str">
        <f t="shared" si="40"/>
        <v>ASSY-XX-3WDE</v>
      </c>
      <c r="P55" t="str">
        <f t="shared" si="41"/>
        <v>ASSY-MM-XX-3WDE</v>
      </c>
      <c r="Q55"/>
      <c r="R55" s="460">
        <v>70.75</v>
      </c>
      <c r="S55" s="460">
        <v>72.5</v>
      </c>
      <c r="T55" s="632">
        <f t="shared" si="42"/>
        <v>2.4734982332155476E-2</v>
      </c>
      <c r="U55" s="481">
        <f t="shared" si="43"/>
        <v>56.6</v>
      </c>
      <c r="V55" s="84"/>
      <c r="W55" s="987">
        <f t="shared" si="44"/>
        <v>58</v>
      </c>
      <c r="X55" s="669">
        <f t="shared" si="45"/>
        <v>2.4734982332155452E-2</v>
      </c>
      <c r="Y55"/>
      <c r="Z55" s="460">
        <v>128.25</v>
      </c>
      <c r="AA55" s="460">
        <v>156</v>
      </c>
      <c r="AB55" s="632">
        <f t="shared" si="46"/>
        <v>0.21637426900584794</v>
      </c>
      <c r="AC55" s="481">
        <f t="shared" si="47"/>
        <v>102.60000000000001</v>
      </c>
      <c r="AD55" s="84"/>
      <c r="AE55" s="987">
        <f t="shared" si="48"/>
        <v>124.80000000000001</v>
      </c>
      <c r="AF55" s="669">
        <f t="shared" si="49"/>
        <v>0.21637426900584797</v>
      </c>
      <c r="AG55" s="84"/>
      <c r="AH55" s="83"/>
      <c r="AI55" s="265" t="str">
        <f t="shared" si="37"/>
        <v>.181" - .2819"</v>
      </c>
      <c r="AJ55" s="266" t="str">
        <f t="shared" si="38"/>
        <v>4.596 - 7.160mm</v>
      </c>
      <c r="AK55" s="267" t="str">
        <f t="shared" si="50"/>
        <v>3W</v>
      </c>
      <c r="AL55" s="268">
        <f t="shared" si="39"/>
        <v>72.5</v>
      </c>
      <c r="AM55" s="269">
        <f t="shared" si="51"/>
        <v>156</v>
      </c>
      <c r="AN55" s="9"/>
      <c r="AO55" s="9"/>
    </row>
    <row r="56" spans="1:41" s="56" customFormat="1" ht="15.75" x14ac:dyDescent="0.25">
      <c r="A56"/>
      <c r="B56"/>
      <c r="C56" s="83" t="str">
        <f t="shared" si="52"/>
        <v>XX</v>
      </c>
      <c r="D56" s="84" t="s">
        <v>481</v>
      </c>
      <c r="E56" s="84"/>
      <c r="F56" s="72">
        <f>F$43</f>
        <v>0.28199999999999997</v>
      </c>
      <c r="G56" s="72">
        <f>G$43</f>
        <v>0.40689999999999998</v>
      </c>
      <c r="H56" s="531"/>
      <c r="I56" s="535">
        <f>I$43</f>
        <v>7.1612599999999995</v>
      </c>
      <c r="J56" s="535">
        <f>J$43</f>
        <v>10.33526</v>
      </c>
      <c r="K56"/>
      <c r="L56"/>
      <c r="M56"/>
      <c r="N56"/>
      <c r="O56" t="str">
        <f t="shared" si="40"/>
        <v>ASSY-XX-4WDE</v>
      </c>
      <c r="P56" t="str">
        <f t="shared" si="41"/>
        <v>ASSY-MM-XX-4WDE</v>
      </c>
      <c r="Q56"/>
      <c r="R56" s="460">
        <v>73</v>
      </c>
      <c r="S56" s="460">
        <v>75</v>
      </c>
      <c r="T56" s="632">
        <f t="shared" si="42"/>
        <v>2.7397260273972601E-2</v>
      </c>
      <c r="U56" s="481">
        <f t="shared" si="43"/>
        <v>58.400000000000006</v>
      </c>
      <c r="V56" s="84"/>
      <c r="W56" s="987">
        <f t="shared" si="44"/>
        <v>60</v>
      </c>
      <c r="X56" s="669">
        <f t="shared" si="45"/>
        <v>2.7397260273972504E-2</v>
      </c>
      <c r="Y56"/>
      <c r="Z56" s="460">
        <v>131.75</v>
      </c>
      <c r="AA56" s="460">
        <v>162</v>
      </c>
      <c r="AB56" s="632">
        <f t="shared" si="46"/>
        <v>0.22960151802656548</v>
      </c>
      <c r="AC56" s="481">
        <f t="shared" si="47"/>
        <v>105.4</v>
      </c>
      <c r="AD56" s="84"/>
      <c r="AE56" s="987">
        <f t="shared" si="48"/>
        <v>129.6</v>
      </c>
      <c r="AF56" s="669">
        <f t="shared" si="49"/>
        <v>0.22960151802656534</v>
      </c>
      <c r="AG56" s="84"/>
      <c r="AH56" s="83"/>
      <c r="AI56" s="270" t="str">
        <f t="shared" si="37"/>
        <v>.282" - .4069"</v>
      </c>
      <c r="AJ56" s="271" t="str">
        <f t="shared" si="38"/>
        <v>7.161 - 10.335mm</v>
      </c>
      <c r="AK56" s="272" t="str">
        <f t="shared" si="50"/>
        <v>4W</v>
      </c>
      <c r="AL56" s="275">
        <f t="shared" si="39"/>
        <v>75</v>
      </c>
      <c r="AM56" s="274">
        <f t="shared" si="51"/>
        <v>162</v>
      </c>
      <c r="AN56" s="9"/>
      <c r="AO56" s="9"/>
    </row>
    <row r="57" spans="1:41" s="56" customFormat="1" ht="15.75" x14ac:dyDescent="0.25">
      <c r="A57"/>
      <c r="B57"/>
      <c r="C57" s="83" t="str">
        <f t="shared" si="52"/>
        <v>XX</v>
      </c>
      <c r="D57" s="84" t="s">
        <v>482</v>
      </c>
      <c r="E57" s="84"/>
      <c r="F57" s="72">
        <f>F$44</f>
        <v>0.40699999999999997</v>
      </c>
      <c r="G57" s="72">
        <f>G$44</f>
        <v>0.51090000000000002</v>
      </c>
      <c r="H57" s="531"/>
      <c r="I57" s="535">
        <f>I$44</f>
        <v>10.336259999999999</v>
      </c>
      <c r="J57" s="535">
        <f>J$44</f>
        <v>12.97686</v>
      </c>
      <c r="K57"/>
      <c r="L57"/>
      <c r="M57"/>
      <c r="N57"/>
      <c r="O57" t="str">
        <f t="shared" si="40"/>
        <v>ASSY-XX-5WDE</v>
      </c>
      <c r="P57" t="str">
        <f t="shared" si="41"/>
        <v>ASSY-MM-XX-5WDE</v>
      </c>
      <c r="Q57"/>
      <c r="R57" s="460">
        <v>78.25</v>
      </c>
      <c r="S57" s="460">
        <v>79.5</v>
      </c>
      <c r="T57" s="632">
        <f t="shared" si="42"/>
        <v>1.5974440894568689E-2</v>
      </c>
      <c r="U57" s="481">
        <f t="shared" si="43"/>
        <v>62.6</v>
      </c>
      <c r="V57" s="84"/>
      <c r="W57" s="987">
        <f t="shared" si="44"/>
        <v>63.6</v>
      </c>
      <c r="X57" s="669">
        <f t="shared" si="45"/>
        <v>1.5974440894568689E-2</v>
      </c>
      <c r="Y57"/>
      <c r="Z57" s="460">
        <v>138.5</v>
      </c>
      <c r="AA57" s="460">
        <v>168</v>
      </c>
      <c r="AB57" s="632">
        <f t="shared" si="46"/>
        <v>0.21299638989169675</v>
      </c>
      <c r="AC57" s="481">
        <f t="shared" si="47"/>
        <v>110.80000000000001</v>
      </c>
      <c r="AD57" s="84"/>
      <c r="AE57" s="987">
        <f t="shared" si="48"/>
        <v>134.4</v>
      </c>
      <c r="AF57" s="669">
        <f t="shared" si="49"/>
        <v>0.21299638989169667</v>
      </c>
      <c r="AG57" s="84"/>
      <c r="AH57" s="83"/>
      <c r="AI57" s="265" t="str">
        <f t="shared" si="37"/>
        <v>.407" - .5109"</v>
      </c>
      <c r="AJ57" s="266" t="str">
        <f t="shared" si="38"/>
        <v>10.336 - 12.977mm</v>
      </c>
      <c r="AK57" s="267" t="str">
        <f t="shared" si="50"/>
        <v>5W</v>
      </c>
      <c r="AL57" s="268">
        <f t="shared" si="39"/>
        <v>79.5</v>
      </c>
      <c r="AM57" s="269">
        <f t="shared" si="51"/>
        <v>168</v>
      </c>
      <c r="AN57" s="9"/>
      <c r="AO57" s="9"/>
    </row>
    <row r="58" spans="1:41" s="56" customFormat="1" ht="15.75" x14ac:dyDescent="0.25">
      <c r="A58"/>
      <c r="B58"/>
      <c r="C58" s="83" t="str">
        <f t="shared" si="52"/>
        <v>XX</v>
      </c>
      <c r="D58" s="84" t="s">
        <v>483</v>
      </c>
      <c r="E58" s="84"/>
      <c r="F58" s="72">
        <f>F$45</f>
        <v>0.51100000000000001</v>
      </c>
      <c r="G58" s="72">
        <f>G$45</f>
        <v>0.63590000000000002</v>
      </c>
      <c r="H58" s="531"/>
      <c r="I58" s="535">
        <f>I$45</f>
        <v>12.97786</v>
      </c>
      <c r="J58" s="535">
        <f>J$45</f>
        <v>16.151859999999999</v>
      </c>
      <c r="K58"/>
      <c r="L58"/>
      <c r="M58"/>
      <c r="N58"/>
      <c r="O58" t="str">
        <f t="shared" si="40"/>
        <v>ASSY-XX-6WDE</v>
      </c>
      <c r="P58" t="str">
        <f t="shared" si="41"/>
        <v>ASSY-MM-XX-6WDE</v>
      </c>
      <c r="Q58"/>
      <c r="R58" s="460">
        <v>88.75</v>
      </c>
      <c r="S58" s="460">
        <v>90</v>
      </c>
      <c r="T58" s="632">
        <f t="shared" si="42"/>
        <v>1.4084507042253521E-2</v>
      </c>
      <c r="U58" s="481">
        <f t="shared" si="43"/>
        <v>71</v>
      </c>
      <c r="V58" s="84"/>
      <c r="W58" s="987">
        <f t="shared" si="44"/>
        <v>72</v>
      </c>
      <c r="X58" s="669">
        <f t="shared" si="45"/>
        <v>1.4084507042253521E-2</v>
      </c>
      <c r="Y58"/>
      <c r="Z58" s="460">
        <v>156.25</v>
      </c>
      <c r="AA58" s="460">
        <v>185</v>
      </c>
      <c r="AB58" s="632">
        <f t="shared" si="46"/>
        <v>0.184</v>
      </c>
      <c r="AC58" s="481">
        <f t="shared" si="47"/>
        <v>125</v>
      </c>
      <c r="AD58" s="84"/>
      <c r="AE58" s="987">
        <f t="shared" si="48"/>
        <v>148</v>
      </c>
      <c r="AF58" s="669">
        <f t="shared" si="49"/>
        <v>0.184</v>
      </c>
      <c r="AG58" s="84"/>
      <c r="AH58" s="83"/>
      <c r="AI58" s="270" t="str">
        <f t="shared" si="37"/>
        <v>.511" - .6359"</v>
      </c>
      <c r="AJ58" s="271" t="str">
        <f t="shared" si="38"/>
        <v>12.978 - 16.152mm</v>
      </c>
      <c r="AK58" s="272" t="str">
        <f t="shared" si="50"/>
        <v>6W</v>
      </c>
      <c r="AL58" s="275">
        <f t="shared" si="39"/>
        <v>90</v>
      </c>
      <c r="AM58" s="274">
        <f t="shared" si="51"/>
        <v>185</v>
      </c>
      <c r="AN58" s="9"/>
      <c r="AO58" s="9"/>
    </row>
    <row r="59" spans="1:41" s="56" customFormat="1" ht="15.75" x14ac:dyDescent="0.25">
      <c r="A59"/>
      <c r="B59"/>
      <c r="C59" s="83" t="str">
        <f t="shared" si="52"/>
        <v>XX</v>
      </c>
      <c r="D59" s="84" t="s">
        <v>484</v>
      </c>
      <c r="E59" s="84"/>
      <c r="F59" s="72">
        <f>F$46</f>
        <v>0.63600000000000001</v>
      </c>
      <c r="G59" s="72">
        <f>G$46</f>
        <v>0.76090000000000002</v>
      </c>
      <c r="H59" s="531"/>
      <c r="I59" s="535">
        <f>I$46</f>
        <v>16.15286</v>
      </c>
      <c r="J59" s="535">
        <f>J$46</f>
        <v>19.32686</v>
      </c>
      <c r="K59"/>
      <c r="L59"/>
      <c r="M59"/>
      <c r="N59"/>
      <c r="O59" t="str">
        <f t="shared" si="40"/>
        <v>ASSY-XX-7WDE</v>
      </c>
      <c r="P59" t="str">
        <f t="shared" si="41"/>
        <v>ASSY-MM-XX-7WDE</v>
      </c>
      <c r="Q59"/>
      <c r="R59" s="460">
        <v>94.5</v>
      </c>
      <c r="S59" s="460">
        <v>96</v>
      </c>
      <c r="T59" s="632">
        <f t="shared" si="42"/>
        <v>1.5873015873015872E-2</v>
      </c>
      <c r="U59" s="481">
        <f t="shared" si="43"/>
        <v>75.600000000000009</v>
      </c>
      <c r="V59" s="84"/>
      <c r="W59" s="987">
        <f t="shared" si="44"/>
        <v>76.800000000000011</v>
      </c>
      <c r="X59" s="669">
        <f t="shared" si="45"/>
        <v>1.587301587301591E-2</v>
      </c>
      <c r="Y59"/>
      <c r="Z59" s="460">
        <v>164.75</v>
      </c>
      <c r="AA59" s="460">
        <v>194</v>
      </c>
      <c r="AB59" s="632">
        <f t="shared" si="46"/>
        <v>0.17754172989377845</v>
      </c>
      <c r="AC59" s="481">
        <f t="shared" si="47"/>
        <v>131.80000000000001</v>
      </c>
      <c r="AD59" s="84"/>
      <c r="AE59" s="987">
        <f t="shared" si="48"/>
        <v>155.20000000000002</v>
      </c>
      <c r="AF59" s="669">
        <f t="shared" si="49"/>
        <v>0.17754172989377848</v>
      </c>
      <c r="AG59" s="84"/>
      <c r="AH59" s="83"/>
      <c r="AI59" s="265" t="str">
        <f t="shared" si="37"/>
        <v>.636" - .7609"</v>
      </c>
      <c r="AJ59" s="266" t="str">
        <f t="shared" si="38"/>
        <v>16.153 - 19.327mm</v>
      </c>
      <c r="AK59" s="267" t="str">
        <f t="shared" si="50"/>
        <v>7W</v>
      </c>
      <c r="AL59" s="268">
        <f t="shared" si="39"/>
        <v>96</v>
      </c>
      <c r="AM59" s="269">
        <f t="shared" si="51"/>
        <v>194</v>
      </c>
      <c r="AN59" s="9"/>
      <c r="AO59" s="9"/>
    </row>
    <row r="60" spans="1:41" s="56" customFormat="1" ht="16.5" thickBot="1" x14ac:dyDescent="0.3">
      <c r="A60"/>
      <c r="B60"/>
      <c r="C60" s="83" t="str">
        <f t="shared" si="52"/>
        <v>XX</v>
      </c>
      <c r="D60" s="84" t="s">
        <v>485</v>
      </c>
      <c r="E60" s="84"/>
      <c r="F60" s="72">
        <f>F$47</f>
        <v>0.76100000000000001</v>
      </c>
      <c r="G60" s="72">
        <f>G$47</f>
        <v>1.0149999999999999</v>
      </c>
      <c r="H60" s="531"/>
      <c r="I60" s="535">
        <f>I$47</f>
        <v>19.327860000000001</v>
      </c>
      <c r="J60" s="535">
        <f>J$47</f>
        <v>25.65</v>
      </c>
      <c r="K60"/>
      <c r="L60"/>
      <c r="M60"/>
      <c r="N60"/>
      <c r="O60" t="str">
        <f t="shared" si="40"/>
        <v>ASSY-XX-8WDE</v>
      </c>
      <c r="P60" t="str">
        <f t="shared" si="41"/>
        <v>ASSY-MM-XX-8WDE</v>
      </c>
      <c r="Q60"/>
      <c r="R60" s="460">
        <v>136.5</v>
      </c>
      <c r="S60" s="460">
        <v>116</v>
      </c>
      <c r="T60" s="632">
        <f t="shared" si="42"/>
        <v>-0.15018315018315018</v>
      </c>
      <c r="U60" s="481">
        <f t="shared" si="43"/>
        <v>109.2</v>
      </c>
      <c r="V60" s="84"/>
      <c r="W60" s="987">
        <f t="shared" si="44"/>
        <v>92.800000000000011</v>
      </c>
      <c r="X60" s="669">
        <f t="shared" si="45"/>
        <v>-0.15018315018315009</v>
      </c>
      <c r="Y60"/>
      <c r="Z60" s="460">
        <v>240.25</v>
      </c>
      <c r="AA60" s="460">
        <v>218</v>
      </c>
      <c r="AB60" s="632">
        <f t="shared" si="46"/>
        <v>-9.261186264308012E-2</v>
      </c>
      <c r="AC60" s="481">
        <f t="shared" si="47"/>
        <v>192.20000000000002</v>
      </c>
      <c r="AD60" s="84"/>
      <c r="AE60" s="987">
        <f t="shared" si="48"/>
        <v>174.4</v>
      </c>
      <c r="AF60" s="669">
        <f t="shared" si="49"/>
        <v>-9.2611862643080176E-2</v>
      </c>
      <c r="AG60" s="84"/>
      <c r="AH60" s="83"/>
      <c r="AI60" s="276" t="str">
        <f t="shared" si="37"/>
        <v>.761" - 1.015"</v>
      </c>
      <c r="AJ60" s="277" t="str">
        <f t="shared" si="38"/>
        <v>19.328 - 25.650mm</v>
      </c>
      <c r="AK60" s="278" t="str">
        <f t="shared" si="50"/>
        <v>8W</v>
      </c>
      <c r="AL60" s="279">
        <f t="shared" si="39"/>
        <v>116</v>
      </c>
      <c r="AM60" s="280">
        <f t="shared" si="51"/>
        <v>218</v>
      </c>
      <c r="AN60" s="9"/>
      <c r="AO60" s="9"/>
    </row>
    <row r="61" spans="1:41" s="56" customFormat="1" x14ac:dyDescent="0.25">
      <c r="A61"/>
      <c r="B61"/>
      <c r="C61" s="83"/>
      <c r="D61" s="84"/>
      <c r="E61" s="84"/>
      <c r="F61" s="534"/>
      <c r="G61" s="534"/>
      <c r="H61" s="531"/>
      <c r="I61" s="535"/>
      <c r="J61" s="535"/>
      <c r="K61"/>
      <c r="L61"/>
      <c r="M61"/>
      <c r="N61"/>
      <c r="O61"/>
      <c r="P61"/>
      <c r="Q61"/>
      <c r="R61" s="36"/>
      <c r="S61" s="36"/>
      <c r="T61"/>
      <c r="U61"/>
      <c r="V61"/>
      <c r="W61"/>
      <c r="X61"/>
      <c r="Y61"/>
      <c r="Z61" s="36"/>
      <c r="AA61" s="36"/>
      <c r="AB61"/>
      <c r="AC61"/>
      <c r="AD61" s="84"/>
      <c r="AE61"/>
      <c r="AF61"/>
      <c r="AG61" s="84"/>
      <c r="AH61" s="83"/>
      <c r="AI61" s="83"/>
      <c r="AJ61" s="83"/>
      <c r="AK61" s="83"/>
      <c r="AL61" s="83"/>
      <c r="AM61" s="93"/>
      <c r="AN61"/>
      <c r="AO61"/>
    </row>
    <row r="62" spans="1:41" x14ac:dyDescent="0.25">
      <c r="F62" s="536"/>
      <c r="G62" s="536"/>
      <c r="H62" s="531"/>
      <c r="I62" s="536"/>
      <c r="J62" s="536"/>
      <c r="AE62"/>
      <c r="AF62"/>
      <c r="AI62" s="519" t="s">
        <v>772</v>
      </c>
    </row>
    <row r="63" spans="1:41" ht="10.5" customHeight="1" x14ac:dyDescent="0.25">
      <c r="AE63"/>
      <c r="AF63"/>
      <c r="AI63" s="519"/>
    </row>
    <row r="64" spans="1:41" x14ac:dyDescent="0.25">
      <c r="A64" s="50"/>
      <c r="B64" s="50"/>
      <c r="AE64"/>
      <c r="AF64"/>
      <c r="AI64" s="83" t="s">
        <v>675</v>
      </c>
    </row>
  </sheetData>
  <sheetProtection algorithmName="SHA-512" hashValue="DtBJMdxLm2xdyqKSV+KTuv45Jd+kTt8d9ooTXBiLRtvMd8iJWJlaF/DnrIf251pE9tMrY9NNQrD0VdQ7U5oeHw==" saltValue="1xynpoPSRFKYDejy4lMU6A==" spinCount="100000" sheet="1" objects="1" scenarios="1"/>
  <mergeCells count="4">
    <mergeCell ref="AK23:AK24"/>
    <mergeCell ref="AK38:AK39"/>
    <mergeCell ref="AK51:AK52"/>
    <mergeCell ref="AK3:AL3"/>
  </mergeCells>
  <conditionalFormatting sqref="AI17:AI19">
    <cfRule type="expression" dxfId="20" priority="1">
      <formula>#REF!="y"</formula>
    </cfRule>
  </conditionalFormatting>
  <pageMargins left="0.7" right="0.7" top="0.75" bottom="0.75" header="0.3" footer="0.3"/>
  <pageSetup scale="13" fitToHeight="0"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A042E-0BED-4AC4-968A-574149D156DB}">
  <sheetPr codeName="Sheet16">
    <outlinePr summaryBelow="0"/>
  </sheetPr>
  <dimension ref="C1:Y85"/>
  <sheetViews>
    <sheetView showGridLines="0" zoomScale="90" zoomScaleNormal="90" workbookViewId="0">
      <selection activeCell="L116" sqref="L116"/>
    </sheetView>
  </sheetViews>
  <sheetFormatPr defaultRowHeight="15" outlineLevelRow="1" outlineLevelCol="1" x14ac:dyDescent="0.25"/>
  <cols>
    <col min="1" max="2" width="1.7109375" customWidth="1"/>
    <col min="3" max="3" width="11.5703125" hidden="1" customWidth="1" outlineLevel="1"/>
    <col min="4" max="4" width="10" hidden="1" customWidth="1" outlineLevel="1"/>
    <col min="5" max="5" width="2.7109375" hidden="1" customWidth="1" outlineLevel="1"/>
    <col min="6" max="7" width="10.85546875" hidden="1" customWidth="1" outlineLevel="1"/>
    <col min="8" max="8" width="2.7109375" hidden="1" customWidth="1" outlineLevel="1"/>
    <col min="9" max="9" width="11.28515625" hidden="1" customWidth="1" outlineLevel="1"/>
    <col min="10" max="10" width="11.28515625" style="11" hidden="1" customWidth="1" outlineLevel="1"/>
    <col min="11" max="11" width="1.7109375" hidden="1" customWidth="1" outlineLevel="1"/>
    <col min="12" max="12" width="28.28515625" customWidth="1" collapsed="1"/>
    <col min="13" max="18" width="15.140625" customWidth="1"/>
    <col min="19" max="19" width="14.140625" customWidth="1"/>
    <col min="20" max="25" width="13.28515625" customWidth="1"/>
  </cols>
  <sheetData>
    <row r="1" spans="3:12" ht="5.0999999999999996" customHeight="1" x14ac:dyDescent="0.25"/>
    <row r="2" spans="3:12" ht="21" x14ac:dyDescent="0.35">
      <c r="L2" s="1" t="s">
        <v>642</v>
      </c>
    </row>
    <row r="3" spans="3:12" ht="15.75" collapsed="1" x14ac:dyDescent="0.25">
      <c r="L3" s="9" t="s">
        <v>774</v>
      </c>
    </row>
    <row r="4" spans="3:12" hidden="1" outlineLevel="1" x14ac:dyDescent="0.25">
      <c r="C4" s="743" t="s">
        <v>893</v>
      </c>
      <c r="D4" s="743" t="s">
        <v>894</v>
      </c>
    </row>
    <row r="5" spans="3:12" hidden="1" outlineLevel="1" x14ac:dyDescent="0.25">
      <c r="C5" s="2">
        <v>190</v>
      </c>
      <c r="D5" s="2" t="s">
        <v>836</v>
      </c>
    </row>
    <row r="6" spans="3:12" hidden="1" outlineLevel="1" x14ac:dyDescent="0.25"/>
    <row r="7" spans="3:12" hidden="1" outlineLevel="1" x14ac:dyDescent="0.25"/>
    <row r="9" spans="3:12" x14ac:dyDescent="0.25">
      <c r="C9" s="511" t="s">
        <v>648</v>
      </c>
      <c r="D9" s="515" t="s">
        <v>656</v>
      </c>
      <c r="K9" s="508"/>
      <c r="L9" s="511" t="str">
        <f>_xlfn.CONCAT($C$9,"  ",D9)</f>
        <v>•  Class ZZ (.0002" or .005mm tolerance)</v>
      </c>
    </row>
    <row r="10" spans="3:12" x14ac:dyDescent="0.25">
      <c r="D10" s="515" t="s">
        <v>678</v>
      </c>
      <c r="L10" s="511" t="str">
        <f>_xlfn.CONCAT($C$9,"  ",D10)</f>
        <v>•  Go (Plus), NoGo (Minus), or Master (Bilateral) tolerance</v>
      </c>
    </row>
    <row r="11" spans="3:12" collapsed="1" x14ac:dyDescent="0.25">
      <c r="D11" s="515" t="s">
        <v>662</v>
      </c>
      <c r="F11" s="35"/>
      <c r="L11" s="511" t="str">
        <f>_xlfn.CONCAT($C$9,"  ",D11)</f>
        <v>•  Go/NoGo assemblies quoted upon request</v>
      </c>
    </row>
    <row r="12" spans="3:12" hidden="1" outlineLevel="1" x14ac:dyDescent="0.25">
      <c r="F12" s="35"/>
      <c r="L12" s="35"/>
    </row>
    <row r="13" spans="3:12" hidden="1" outlineLevel="1" x14ac:dyDescent="0.25">
      <c r="C13" s="698" t="s">
        <v>765</v>
      </c>
      <c r="D13" s="104"/>
      <c r="E13" s="513"/>
      <c r="F13" s="104"/>
      <c r="L13" s="35"/>
    </row>
    <row r="14" spans="3:12" hidden="1" outlineLevel="1" x14ac:dyDescent="0.25">
      <c r="C14" s="698"/>
      <c r="D14" s="104"/>
      <c r="E14" s="513"/>
      <c r="F14" s="104"/>
      <c r="L14" s="35"/>
    </row>
    <row r="15" spans="3:12" hidden="1" outlineLevel="1" x14ac:dyDescent="0.25">
      <c r="F15" s="593">
        <v>25.4</v>
      </c>
      <c r="L15" s="35"/>
    </row>
    <row r="16" spans="3:12" ht="15.75" hidden="1" outlineLevel="1" x14ac:dyDescent="0.25">
      <c r="D16" s="700">
        <v>1E-4</v>
      </c>
      <c r="E16" s="700"/>
      <c r="F16" s="700">
        <v>1E-3</v>
      </c>
      <c r="L16" s="9"/>
    </row>
    <row r="17" spans="3:18" ht="16.5" thickBot="1" x14ac:dyDescent="0.3">
      <c r="D17" s="700"/>
      <c r="E17" s="700"/>
      <c r="F17" s="700"/>
      <c r="L17" s="9"/>
    </row>
    <row r="18" spans="3:18" x14ac:dyDescent="0.25">
      <c r="C18" s="22" t="s">
        <v>634</v>
      </c>
      <c r="D18" s="3"/>
      <c r="F18" s="22" t="s">
        <v>649</v>
      </c>
      <c r="G18" s="5"/>
      <c r="J18" s="960"/>
      <c r="L18" s="767" t="s">
        <v>903</v>
      </c>
      <c r="M18" s="772"/>
      <c r="N18" s="772"/>
      <c r="O18" s="772"/>
      <c r="P18" s="772"/>
      <c r="Q18" s="772"/>
      <c r="R18" s="773"/>
    </row>
    <row r="19" spans="3:18" x14ac:dyDescent="0.25">
      <c r="C19" s="21" t="s">
        <v>6</v>
      </c>
      <c r="D19" s="20"/>
      <c r="F19" s="21" t="s">
        <v>7</v>
      </c>
      <c r="G19" s="20"/>
      <c r="J19" s="960"/>
      <c r="L19" s="154" t="s">
        <v>3</v>
      </c>
      <c r="M19" s="282">
        <v>3</v>
      </c>
      <c r="N19" s="282">
        <v>4</v>
      </c>
      <c r="O19" s="282">
        <v>5</v>
      </c>
      <c r="P19" s="282">
        <v>6</v>
      </c>
      <c r="Q19" s="282">
        <v>9</v>
      </c>
      <c r="R19" s="283">
        <v>12</v>
      </c>
    </row>
    <row r="20" spans="3:18" x14ac:dyDescent="0.25">
      <c r="C20" s="715">
        <v>1.0999999999999999E-2</v>
      </c>
      <c r="D20" s="715">
        <v>3.09E-2</v>
      </c>
      <c r="F20" s="502">
        <v>0.27900000000000003</v>
      </c>
      <c r="G20" s="504">
        <f>PRODUCT(D20,$F$15)</f>
        <v>0.78486</v>
      </c>
      <c r="J20" s="11">
        <v>1</v>
      </c>
      <c r="L20" s="157" t="str">
        <f>_xlfn.CONCAT(TEXT($C20,"#.000#"),"""","  to  ",TEXT($D20,"#.000#"),"""")</f>
        <v>.011"  to  .0309"</v>
      </c>
      <c r="M20" s="284">
        <f t="shared" ref="M20:R20" si="0">INDEX($M$53:$R$61,MATCH($J20,$J$53:$J$61,0),MATCH(M$19,$M$39:$R$39,0))</f>
        <v>85</v>
      </c>
      <c r="N20" s="284">
        <f t="shared" si="0"/>
        <v>100</v>
      </c>
      <c r="O20" s="284">
        <f t="shared" si="0"/>
        <v>120</v>
      </c>
      <c r="P20" s="284">
        <f t="shared" si="0"/>
        <v>140</v>
      </c>
      <c r="Q20" s="284">
        <f t="shared" si="0"/>
        <v>160</v>
      </c>
      <c r="R20" s="285">
        <f t="shared" si="0"/>
        <v>205</v>
      </c>
    </row>
    <row r="21" spans="3:18" x14ac:dyDescent="0.25">
      <c r="C21" s="5"/>
      <c r="D21" s="4"/>
      <c r="F21" s="503"/>
      <c r="G21" s="503"/>
      <c r="L21" s="286" t="str">
        <f>_xlfn.CONCAT(TEXT($F20,"#.000"),"mm","  to  ",TEXT($G20,"#.000"),"mm")</f>
        <v>.279mm  to  .785mm</v>
      </c>
      <c r="M21" s="287"/>
      <c r="N21" s="287"/>
      <c r="O21" s="287"/>
      <c r="P21" s="287"/>
      <c r="Q21" s="287"/>
      <c r="R21" s="288"/>
    </row>
    <row r="22" spans="3:18" x14ac:dyDescent="0.25">
      <c r="C22" s="465">
        <f>D20+$D$16</f>
        <v>3.1E-2</v>
      </c>
      <c r="D22" s="715">
        <v>7.5899999999999995E-2</v>
      </c>
      <c r="F22" s="504">
        <f>G20+$F$16</f>
        <v>0.78586</v>
      </c>
      <c r="G22" s="504">
        <f>PRODUCT(D22,$F$15)</f>
        <v>1.9278599999999997</v>
      </c>
      <c r="J22" s="11">
        <v>2</v>
      </c>
      <c r="L22" s="166" t="str">
        <f>_xlfn.CONCAT(TEXT($C22,"#.000#"),"""","  to  ",TEXT($D22,"#.000#"),"""")</f>
        <v>.031"  to  .0759"</v>
      </c>
      <c r="M22" s="289">
        <f t="shared" ref="M22:R22" si="1">INDEX($M$53:$R$61,MATCH($J22,$J$53:$J$61,0),MATCH(M$19,$M$39:$R$39,0))</f>
        <v>75</v>
      </c>
      <c r="N22" s="289">
        <f t="shared" si="1"/>
        <v>85</v>
      </c>
      <c r="O22" s="289">
        <f t="shared" si="1"/>
        <v>95</v>
      </c>
      <c r="P22" s="289">
        <f t="shared" si="1"/>
        <v>100</v>
      </c>
      <c r="Q22" s="289">
        <f t="shared" si="1"/>
        <v>120</v>
      </c>
      <c r="R22" s="290">
        <f t="shared" si="1"/>
        <v>150</v>
      </c>
    </row>
    <row r="23" spans="3:18" x14ac:dyDescent="0.25">
      <c r="C23" s="465"/>
      <c r="D23" s="465"/>
      <c r="F23" s="504"/>
      <c r="G23" s="503"/>
      <c r="L23" s="291" t="str">
        <f>_xlfn.CONCAT(TEXT($F22,"#.000"),"mm","  to  ",TEXT($G22,"#.000"),"mm")</f>
        <v>.786mm  to  1.928mm</v>
      </c>
      <c r="M23" s="292"/>
      <c r="N23" s="292"/>
      <c r="O23" s="292"/>
      <c r="P23" s="292"/>
      <c r="Q23" s="292"/>
      <c r="R23" s="293"/>
    </row>
    <row r="24" spans="3:18" x14ac:dyDescent="0.25">
      <c r="C24" s="699">
        <f>D22+$D$16</f>
        <v>7.5999999999999998E-2</v>
      </c>
      <c r="D24" s="715">
        <v>0.18090000000000001</v>
      </c>
      <c r="F24" s="504">
        <f>G22+$F$16</f>
        <v>1.9288599999999996</v>
      </c>
      <c r="G24" s="504">
        <f>PRODUCT(D24,$F$15)</f>
        <v>4.5948599999999997</v>
      </c>
      <c r="J24" s="11">
        <v>3</v>
      </c>
      <c r="L24" s="157" t="str">
        <f>_xlfn.CONCAT(TEXT($C24,"#.000#"),"""","  to  ",TEXT($D24,"#.000#"),"""")</f>
        <v>.076"  to  .1809"</v>
      </c>
      <c r="M24" s="294">
        <f t="shared" ref="M24:R24" si="2">INDEX($M$53:$R$61,MATCH($J24,$J$53:$J$61,0),MATCH(M$19,$M$39:$R$39,0))</f>
        <v>70</v>
      </c>
      <c r="N24" s="294">
        <f t="shared" si="2"/>
        <v>75</v>
      </c>
      <c r="O24" s="294">
        <f t="shared" si="2"/>
        <v>85</v>
      </c>
      <c r="P24" s="294">
        <f t="shared" si="2"/>
        <v>95</v>
      </c>
      <c r="Q24" s="294">
        <f t="shared" si="2"/>
        <v>115</v>
      </c>
      <c r="R24" s="295">
        <f t="shared" si="2"/>
        <v>135</v>
      </c>
    </row>
    <row r="25" spans="3:18" x14ac:dyDescent="0.25">
      <c r="C25" s="465"/>
      <c r="D25" s="465"/>
      <c r="F25" s="504"/>
      <c r="G25" s="503"/>
      <c r="L25" s="286" t="str">
        <f>_xlfn.CONCAT(TEXT($F24,"#.000"),"mm","  to  ",TEXT($G24,"#.000"),"mm")</f>
        <v>1.929mm  to  4.595mm</v>
      </c>
      <c r="M25" s="287"/>
      <c r="N25" s="287"/>
      <c r="O25" s="287"/>
      <c r="P25" s="287"/>
      <c r="Q25" s="287"/>
      <c r="R25" s="288"/>
    </row>
    <row r="26" spans="3:18" x14ac:dyDescent="0.25">
      <c r="C26" s="699">
        <f>D24+$D$16</f>
        <v>0.18099999999999999</v>
      </c>
      <c r="D26" s="715">
        <v>0.28189999999999998</v>
      </c>
      <c r="F26" s="504">
        <f>G24+$F$16</f>
        <v>4.5958600000000001</v>
      </c>
      <c r="G26" s="504">
        <f>PRODUCT(D26,$F$15)</f>
        <v>7.1602599999999992</v>
      </c>
      <c r="J26" s="11">
        <v>4</v>
      </c>
      <c r="L26" s="166" t="str">
        <f>_xlfn.CONCAT(TEXT($C26,"#.000#"),"""","  to  ",TEXT($D26,"#.000#"),"""")</f>
        <v>.181"  to  .2819"</v>
      </c>
      <c r="M26" s="289">
        <f t="shared" ref="M26:R26" si="3">INDEX($M$53:$R$61,MATCH($J26,$J$53:$J$61,0),MATCH(M$19,$M$39:$R$39,0))</f>
        <v>65</v>
      </c>
      <c r="N26" s="289">
        <f t="shared" si="3"/>
        <v>70</v>
      </c>
      <c r="O26" s="289">
        <f t="shared" si="3"/>
        <v>80</v>
      </c>
      <c r="P26" s="289">
        <f t="shared" si="3"/>
        <v>90</v>
      </c>
      <c r="Q26" s="289">
        <f t="shared" si="3"/>
        <v>105</v>
      </c>
      <c r="R26" s="290">
        <f t="shared" si="3"/>
        <v>125</v>
      </c>
    </row>
    <row r="27" spans="3:18" x14ac:dyDescent="0.25">
      <c r="C27" s="465"/>
      <c r="D27" s="465"/>
      <c r="F27" s="504"/>
      <c r="G27" s="503"/>
      <c r="L27" s="291" t="str">
        <f>_xlfn.CONCAT(TEXT($F26,"#.000"),"mm","  to  ",TEXT($G26,"#.000"),"mm")</f>
        <v>4.596mm  to  7.160mm</v>
      </c>
      <c r="M27" s="292"/>
      <c r="N27" s="292"/>
      <c r="O27" s="292"/>
      <c r="P27" s="292"/>
      <c r="Q27" s="292"/>
      <c r="R27" s="293"/>
    </row>
    <row r="28" spans="3:18" x14ac:dyDescent="0.25">
      <c r="C28" s="699">
        <f>D26+$D$16</f>
        <v>0.28199999999999997</v>
      </c>
      <c r="D28" s="715">
        <v>0.40689999999999998</v>
      </c>
      <c r="F28" s="504">
        <f>G26+$F$16</f>
        <v>7.1612599999999995</v>
      </c>
      <c r="G28" s="504">
        <f>PRODUCT(D28,$F$15)</f>
        <v>10.33526</v>
      </c>
      <c r="J28" s="11">
        <v>5</v>
      </c>
      <c r="L28" s="157" t="str">
        <f>_xlfn.CONCAT(TEXT($C28,"#.000#"),"""","  to  ",TEXT($D28,"#.000#"),"""")</f>
        <v>.282"  to  .4069"</v>
      </c>
      <c r="M28" s="294">
        <f t="shared" ref="M28:R28" si="4">INDEX($M$53:$R$61,MATCH($J28,$J$53:$J$61,0),MATCH(M$19,$M$39:$R$39,0))</f>
        <v>75</v>
      </c>
      <c r="N28" s="294">
        <f t="shared" si="4"/>
        <v>85</v>
      </c>
      <c r="O28" s="294">
        <f t="shared" si="4"/>
        <v>85</v>
      </c>
      <c r="P28" s="294">
        <f t="shared" si="4"/>
        <v>100</v>
      </c>
      <c r="Q28" s="294">
        <f t="shared" si="4"/>
        <v>110</v>
      </c>
      <c r="R28" s="295">
        <f t="shared" si="4"/>
        <v>130</v>
      </c>
    </row>
    <row r="29" spans="3:18" x14ac:dyDescent="0.25">
      <c r="C29" s="465"/>
      <c r="D29" s="465"/>
      <c r="F29" s="504"/>
      <c r="G29" s="503"/>
      <c r="L29" s="286" t="str">
        <f>_xlfn.CONCAT(TEXT($F28,"#.000"),"mm","  to  ",TEXT($G28,"#.000"),"mm")</f>
        <v>7.161mm  to  10.335mm</v>
      </c>
      <c r="M29" s="287"/>
      <c r="N29" s="287"/>
      <c r="O29" s="287"/>
      <c r="P29" s="287"/>
      <c r="Q29" s="287"/>
      <c r="R29" s="288"/>
    </row>
    <row r="30" spans="3:18" x14ac:dyDescent="0.25">
      <c r="C30" s="699">
        <f>D28+$D$16</f>
        <v>0.40699999999999997</v>
      </c>
      <c r="D30" s="715">
        <v>0.51090000000000002</v>
      </c>
      <c r="F30" s="504">
        <f>G28+$F$16</f>
        <v>10.336259999999999</v>
      </c>
      <c r="G30" s="504">
        <f>PRODUCT(D30,$F$15)</f>
        <v>12.97686</v>
      </c>
      <c r="J30" s="11">
        <v>6</v>
      </c>
      <c r="L30" s="166" t="str">
        <f>_xlfn.CONCAT(TEXT($C30,"#.000#"),"""","  to  ",TEXT($D30,"#.000#"),"""")</f>
        <v>.407"  to  .5109"</v>
      </c>
      <c r="M30" s="289">
        <f t="shared" ref="M30:R30" si="5">INDEX($M$53:$R$61,MATCH($J30,$J$53:$J$61,0),MATCH(M$19,$M$39:$R$39,0))</f>
        <v>85</v>
      </c>
      <c r="N30" s="289">
        <f t="shared" si="5"/>
        <v>90</v>
      </c>
      <c r="O30" s="289">
        <f t="shared" si="5"/>
        <v>95</v>
      </c>
      <c r="P30" s="289">
        <f t="shared" si="5"/>
        <v>105</v>
      </c>
      <c r="Q30" s="289">
        <f t="shared" si="5"/>
        <v>120</v>
      </c>
      <c r="R30" s="290">
        <f t="shared" si="5"/>
        <v>150</v>
      </c>
    </row>
    <row r="31" spans="3:18" x14ac:dyDescent="0.25">
      <c r="C31" s="465"/>
      <c r="D31" s="465"/>
      <c r="F31" s="504"/>
      <c r="G31" s="503"/>
      <c r="L31" s="291" t="str">
        <f>_xlfn.CONCAT(TEXT($F30,"#.000"),"mm","  to  ",TEXT($G30,"#.000"),"mm")</f>
        <v>10.336mm  to  12.977mm</v>
      </c>
      <c r="M31" s="292"/>
      <c r="N31" s="292"/>
      <c r="O31" s="292"/>
      <c r="P31" s="292"/>
      <c r="Q31" s="292"/>
      <c r="R31" s="293"/>
    </row>
    <row r="32" spans="3:18" x14ac:dyDescent="0.25">
      <c r="C32" s="699">
        <f>D30+$D$16</f>
        <v>0.51100000000000001</v>
      </c>
      <c r="D32" s="715">
        <v>0.63590000000000002</v>
      </c>
      <c r="F32" s="504">
        <f>G30+$F$16</f>
        <v>12.97786</v>
      </c>
      <c r="G32" s="504">
        <f>PRODUCT(D32,$F$15)</f>
        <v>16.151859999999999</v>
      </c>
      <c r="J32" s="11">
        <v>7</v>
      </c>
      <c r="L32" s="157" t="str">
        <f>_xlfn.CONCAT(TEXT($C32,"#.000#"),"""","  to  ",TEXT($D32,"#.000#"),"""")</f>
        <v>.511"  to  .6359"</v>
      </c>
      <c r="M32" s="294">
        <f t="shared" ref="M32:R32" si="6">INDEX($M$53:$R$61,MATCH($J32,$J$53:$J$61,0),MATCH(M$19,$M$39:$R$39,0))</f>
        <v>95</v>
      </c>
      <c r="N32" s="294">
        <f t="shared" si="6"/>
        <v>100</v>
      </c>
      <c r="O32" s="294">
        <f t="shared" si="6"/>
        <v>105</v>
      </c>
      <c r="P32" s="294">
        <f t="shared" si="6"/>
        <v>115</v>
      </c>
      <c r="Q32" s="294">
        <f t="shared" si="6"/>
        <v>130</v>
      </c>
      <c r="R32" s="295">
        <f t="shared" si="6"/>
        <v>165</v>
      </c>
    </row>
    <row r="33" spans="3:25" x14ac:dyDescent="0.25">
      <c r="C33" s="465"/>
      <c r="D33" s="465"/>
      <c r="F33" s="504"/>
      <c r="G33" s="503"/>
      <c r="L33" s="286" t="str">
        <f>_xlfn.CONCAT(TEXT($F32,"#.000"),"mm","  to  ",TEXT($G32,"#.000"),"mm")</f>
        <v>12.978mm  to  16.152mm</v>
      </c>
      <c r="M33" s="287"/>
      <c r="N33" s="287"/>
      <c r="O33" s="287"/>
      <c r="P33" s="287"/>
      <c r="Q33" s="287"/>
      <c r="R33" s="288"/>
    </row>
    <row r="34" spans="3:25" x14ac:dyDescent="0.25">
      <c r="C34" s="699">
        <f>D32+$D$16</f>
        <v>0.63600000000000001</v>
      </c>
      <c r="D34" s="715">
        <v>0.76090000000000002</v>
      </c>
      <c r="F34" s="504">
        <f>G32+$F$16</f>
        <v>16.15286</v>
      </c>
      <c r="G34" s="504">
        <f>PRODUCT(D34,$F$15)</f>
        <v>19.32686</v>
      </c>
      <c r="J34" s="11">
        <v>8</v>
      </c>
      <c r="L34" s="166" t="str">
        <f>_xlfn.CONCAT(TEXT($C34,"#.000#"),"""","  to  ",TEXT($D34,"#.000#"),"""")</f>
        <v>.636"  to  .7609"</v>
      </c>
      <c r="M34" s="289">
        <f t="shared" ref="M34:R34" si="7">INDEX($M$53:$R$61,MATCH($J34,$J$53:$J$61,0),MATCH(M$19,$M$39:$R$39,0))</f>
        <v>105</v>
      </c>
      <c r="N34" s="289">
        <f t="shared" si="7"/>
        <v>115</v>
      </c>
      <c r="O34" s="289">
        <f t="shared" si="7"/>
        <v>120</v>
      </c>
      <c r="P34" s="289">
        <f t="shared" si="7"/>
        <v>130</v>
      </c>
      <c r="Q34" s="289">
        <f t="shared" si="7"/>
        <v>150</v>
      </c>
      <c r="R34" s="290">
        <f t="shared" si="7"/>
        <v>180</v>
      </c>
    </row>
    <row r="35" spans="3:25" x14ac:dyDescent="0.25">
      <c r="C35" s="465"/>
      <c r="D35" s="465"/>
      <c r="F35" s="504"/>
      <c r="G35" s="503"/>
      <c r="L35" s="291" t="str">
        <f>_xlfn.CONCAT(TEXT($F34,"#.000"),"mm","  to  ",TEXT($G34,"#.000"),"mm")</f>
        <v>16.153mm  to  19.327mm</v>
      </c>
      <c r="M35" s="292"/>
      <c r="N35" s="292"/>
      <c r="O35" s="292"/>
      <c r="P35" s="292"/>
      <c r="Q35" s="292"/>
      <c r="R35" s="293"/>
    </row>
    <row r="36" spans="3:25" x14ac:dyDescent="0.25">
      <c r="C36" s="699">
        <f>D34+$D$16</f>
        <v>0.76100000000000001</v>
      </c>
      <c r="D36" s="715">
        <v>1.01</v>
      </c>
      <c r="F36" s="504">
        <f>G34+$F$16</f>
        <v>19.327860000000001</v>
      </c>
      <c r="G36" s="505">
        <v>25.654</v>
      </c>
      <c r="J36" s="11">
        <v>9</v>
      </c>
      <c r="L36" s="157" t="str">
        <f>_xlfn.CONCAT(TEXT($C36,"#.000#"),"""","  to  ",TEXT($D36,"#.000#"),"""")</f>
        <v>.761"  to  1.010"</v>
      </c>
      <c r="M36" s="294">
        <f t="shared" ref="M36:R36" si="8">INDEX($M$53:$R$61,MATCH($J36,$J$53:$J$61,0),MATCH(M$19,$M$39:$R$39,0))</f>
        <v>110</v>
      </c>
      <c r="N36" s="294">
        <f t="shared" si="8"/>
        <v>125</v>
      </c>
      <c r="O36" s="294">
        <f t="shared" si="8"/>
        <v>140</v>
      </c>
      <c r="P36" s="294">
        <f t="shared" si="8"/>
        <v>160</v>
      </c>
      <c r="Q36" s="294">
        <f t="shared" si="8"/>
        <v>180</v>
      </c>
      <c r="R36" s="295">
        <f t="shared" si="8"/>
        <v>215</v>
      </c>
    </row>
    <row r="37" spans="3:25" ht="15.75" thickBot="1" x14ac:dyDescent="0.3">
      <c r="F37" s="38"/>
      <c r="G37" s="38"/>
      <c r="L37" s="296" t="str">
        <f>_xlfn.CONCAT(TEXT($F36,"#.000"),"mm","  to  ",TEXT($G36,"#.000"),"mm")</f>
        <v>19.328mm  to  25.654mm</v>
      </c>
      <c r="M37" s="297"/>
      <c r="N37" s="297"/>
      <c r="O37" s="297"/>
      <c r="P37" s="297"/>
      <c r="Q37" s="297"/>
      <c r="R37" s="298"/>
    </row>
    <row r="38" spans="3:25" collapsed="1" x14ac:dyDescent="0.25"/>
    <row r="39" spans="3:25" hidden="1" outlineLevel="1" x14ac:dyDescent="0.25">
      <c r="M39" s="600">
        <v>3</v>
      </c>
      <c r="N39" s="600">
        <v>4</v>
      </c>
      <c r="O39" s="600">
        <v>5</v>
      </c>
      <c r="P39" s="600">
        <v>6</v>
      </c>
      <c r="Q39" s="600">
        <v>9</v>
      </c>
      <c r="R39" s="600">
        <v>12</v>
      </c>
      <c r="T39" s="600">
        <v>3</v>
      </c>
      <c r="U39" s="600">
        <v>4</v>
      </c>
      <c r="V39" s="600">
        <v>5</v>
      </c>
      <c r="W39" s="600">
        <v>6</v>
      </c>
      <c r="X39" s="600">
        <v>9</v>
      </c>
      <c r="Y39" s="600">
        <v>12</v>
      </c>
    </row>
    <row r="40" spans="3:25" hidden="1" outlineLevel="1" x14ac:dyDescent="0.25">
      <c r="M40" s="601"/>
      <c r="N40" s="601"/>
      <c r="O40" s="601"/>
      <c r="P40" s="601"/>
      <c r="Q40" s="601"/>
      <c r="R40" s="601"/>
      <c r="T40" s="601"/>
      <c r="U40" s="601"/>
      <c r="V40" s="601"/>
      <c r="W40" s="601"/>
      <c r="X40" s="601"/>
      <c r="Y40" s="601"/>
    </row>
    <row r="41" spans="3:25" hidden="1" outlineLevel="1" x14ac:dyDescent="0.25">
      <c r="L41" s="18" t="s">
        <v>769</v>
      </c>
      <c r="M41" s="601"/>
      <c r="N41" s="601"/>
      <c r="O41" s="601"/>
      <c r="P41" s="601"/>
      <c r="Q41" s="601"/>
      <c r="R41" s="601"/>
      <c r="T41" s="601"/>
      <c r="U41" s="601"/>
      <c r="V41" s="601"/>
      <c r="W41" s="601"/>
      <c r="X41" s="601"/>
      <c r="Y41" s="601"/>
    </row>
    <row r="42" spans="3:25" hidden="1" outlineLevel="1" x14ac:dyDescent="0.25">
      <c r="J42" s="19">
        <v>1</v>
      </c>
      <c r="M42" s="386">
        <v>65</v>
      </c>
      <c r="N42" s="386">
        <v>75</v>
      </c>
      <c r="O42" s="386">
        <v>95</v>
      </c>
      <c r="P42" s="386">
        <v>105</v>
      </c>
      <c r="Q42" s="386">
        <v>130</v>
      </c>
      <c r="R42" s="386">
        <v>160</v>
      </c>
      <c r="T42" s="669">
        <f t="shared" ref="T42:T50" si="9">(M53-M42)/M42</f>
        <v>0.30769230769230771</v>
      </c>
      <c r="U42" s="669">
        <f t="shared" ref="U42:U50" si="10">(N53-N42)/N42</f>
        <v>0.33333333333333331</v>
      </c>
      <c r="V42" s="669">
        <f t="shared" ref="V42:V50" si="11">(O53-O42)/O42</f>
        <v>0.26315789473684209</v>
      </c>
      <c r="W42" s="669">
        <f t="shared" ref="W42:W50" si="12">(P53-P42)/P42</f>
        <v>0.33333333333333331</v>
      </c>
      <c r="X42" s="669">
        <f t="shared" ref="X42:X50" si="13">(Q53-Q42)/Q42</f>
        <v>0.23076923076923078</v>
      </c>
      <c r="Y42" s="669">
        <f t="shared" ref="Y42:Y50" si="14">(R53-R42)/R42</f>
        <v>0.28125</v>
      </c>
    </row>
    <row r="43" spans="3:25" hidden="1" outlineLevel="1" x14ac:dyDescent="0.25">
      <c r="J43" s="19">
        <v>2</v>
      </c>
      <c r="M43" s="386">
        <v>60</v>
      </c>
      <c r="N43" s="386">
        <v>65</v>
      </c>
      <c r="O43" s="386">
        <v>80</v>
      </c>
      <c r="P43" s="386">
        <v>85</v>
      </c>
      <c r="Q43" s="386">
        <v>100</v>
      </c>
      <c r="R43" s="386">
        <v>120</v>
      </c>
      <c r="T43" s="669">
        <f t="shared" si="9"/>
        <v>0.25</v>
      </c>
      <c r="U43" s="669">
        <f t="shared" si="10"/>
        <v>0.30769230769230771</v>
      </c>
      <c r="V43" s="669">
        <f t="shared" si="11"/>
        <v>0.1875</v>
      </c>
      <c r="W43" s="669">
        <f t="shared" si="12"/>
        <v>0.17647058823529413</v>
      </c>
      <c r="X43" s="669">
        <f t="shared" si="13"/>
        <v>0.2</v>
      </c>
      <c r="Y43" s="669">
        <f t="shared" si="14"/>
        <v>0.25</v>
      </c>
    </row>
    <row r="44" spans="3:25" hidden="1" outlineLevel="1" x14ac:dyDescent="0.25">
      <c r="J44" s="19">
        <v>3</v>
      </c>
      <c r="M44" s="386">
        <v>60</v>
      </c>
      <c r="N44" s="386">
        <v>65</v>
      </c>
      <c r="O44" s="386">
        <v>80</v>
      </c>
      <c r="P44" s="386">
        <v>85</v>
      </c>
      <c r="Q44" s="386">
        <v>95</v>
      </c>
      <c r="R44" s="386">
        <v>105</v>
      </c>
      <c r="T44" s="669">
        <f t="shared" si="9"/>
        <v>0.16666666666666666</v>
      </c>
      <c r="U44" s="669">
        <f t="shared" si="10"/>
        <v>0.15384615384615385</v>
      </c>
      <c r="V44" s="669">
        <f t="shared" si="11"/>
        <v>6.25E-2</v>
      </c>
      <c r="W44" s="669">
        <f t="shared" si="12"/>
        <v>0.11764705882352941</v>
      </c>
      <c r="X44" s="669">
        <f t="shared" si="13"/>
        <v>0.21052631578947367</v>
      </c>
      <c r="Y44" s="669">
        <f t="shared" si="14"/>
        <v>0.2857142857142857</v>
      </c>
    </row>
    <row r="45" spans="3:25" hidden="1" outlineLevel="1" x14ac:dyDescent="0.25">
      <c r="J45" s="19">
        <v>4</v>
      </c>
      <c r="M45" s="386">
        <v>60</v>
      </c>
      <c r="N45" s="386">
        <v>65</v>
      </c>
      <c r="O45" s="386">
        <v>80</v>
      </c>
      <c r="P45" s="386">
        <v>90</v>
      </c>
      <c r="Q45" s="386">
        <v>100</v>
      </c>
      <c r="R45" s="386">
        <v>120</v>
      </c>
      <c r="T45" s="669">
        <f t="shared" si="9"/>
        <v>8.3333333333333329E-2</v>
      </c>
      <c r="U45" s="669">
        <f t="shared" si="10"/>
        <v>7.6923076923076927E-2</v>
      </c>
      <c r="V45" s="669">
        <f t="shared" si="11"/>
        <v>0</v>
      </c>
      <c r="W45" s="669">
        <f t="shared" si="12"/>
        <v>0</v>
      </c>
      <c r="X45" s="669">
        <f t="shared" si="13"/>
        <v>0.05</v>
      </c>
      <c r="Y45" s="669">
        <f t="shared" si="14"/>
        <v>4.1666666666666664E-2</v>
      </c>
    </row>
    <row r="46" spans="3:25" hidden="1" outlineLevel="1" x14ac:dyDescent="0.25">
      <c r="J46" s="19">
        <v>5</v>
      </c>
      <c r="M46" s="386">
        <v>60</v>
      </c>
      <c r="N46" s="386">
        <v>65</v>
      </c>
      <c r="O46" s="386">
        <v>80</v>
      </c>
      <c r="P46" s="386">
        <v>90</v>
      </c>
      <c r="Q46" s="386">
        <v>100</v>
      </c>
      <c r="R46" s="386">
        <v>120</v>
      </c>
      <c r="T46" s="669">
        <f t="shared" si="9"/>
        <v>0.25</v>
      </c>
      <c r="U46" s="669">
        <f t="shared" si="10"/>
        <v>0.30769230769230771</v>
      </c>
      <c r="V46" s="669">
        <f t="shared" si="11"/>
        <v>6.25E-2</v>
      </c>
      <c r="W46" s="669">
        <f t="shared" si="12"/>
        <v>0.1111111111111111</v>
      </c>
      <c r="X46" s="669">
        <f t="shared" si="13"/>
        <v>0.1</v>
      </c>
      <c r="Y46" s="669">
        <f t="shared" si="14"/>
        <v>8.3333333333333329E-2</v>
      </c>
    </row>
    <row r="47" spans="3:25" hidden="1" outlineLevel="1" x14ac:dyDescent="0.25">
      <c r="J47" s="19">
        <v>6</v>
      </c>
      <c r="M47" s="386">
        <v>70</v>
      </c>
      <c r="N47" s="386">
        <v>75</v>
      </c>
      <c r="O47" s="386">
        <v>85</v>
      </c>
      <c r="P47" s="386">
        <v>95</v>
      </c>
      <c r="Q47" s="386">
        <v>105</v>
      </c>
      <c r="R47" s="386">
        <v>125</v>
      </c>
      <c r="T47" s="669">
        <f t="shared" si="9"/>
        <v>0.21428571428571427</v>
      </c>
      <c r="U47" s="669">
        <f t="shared" si="10"/>
        <v>0.2</v>
      </c>
      <c r="V47" s="669">
        <f t="shared" si="11"/>
        <v>0.11764705882352941</v>
      </c>
      <c r="W47" s="669">
        <f t="shared" si="12"/>
        <v>0.10526315789473684</v>
      </c>
      <c r="X47" s="669">
        <f t="shared" si="13"/>
        <v>0.14285714285714285</v>
      </c>
      <c r="Y47" s="669">
        <f t="shared" si="14"/>
        <v>0.2</v>
      </c>
    </row>
    <row r="48" spans="3:25" hidden="1" outlineLevel="1" x14ac:dyDescent="0.25">
      <c r="J48" s="19">
        <v>7</v>
      </c>
      <c r="M48" s="386">
        <v>70</v>
      </c>
      <c r="N48" s="386">
        <v>75</v>
      </c>
      <c r="O48" s="386">
        <v>90</v>
      </c>
      <c r="P48" s="386">
        <v>100</v>
      </c>
      <c r="Q48" s="386">
        <v>110</v>
      </c>
      <c r="R48" s="386">
        <v>135</v>
      </c>
      <c r="T48" s="669">
        <f t="shared" si="9"/>
        <v>0.35714285714285715</v>
      </c>
      <c r="U48" s="669">
        <f t="shared" si="10"/>
        <v>0.33333333333333331</v>
      </c>
      <c r="V48" s="669">
        <f t="shared" si="11"/>
        <v>0.16666666666666666</v>
      </c>
      <c r="W48" s="669">
        <f t="shared" si="12"/>
        <v>0.15</v>
      </c>
      <c r="X48" s="669">
        <f t="shared" si="13"/>
        <v>0.18181818181818182</v>
      </c>
      <c r="Y48" s="669">
        <f t="shared" si="14"/>
        <v>0.22222222222222221</v>
      </c>
    </row>
    <row r="49" spans="9:25" hidden="1" outlineLevel="1" x14ac:dyDescent="0.25">
      <c r="J49" s="19">
        <v>8</v>
      </c>
      <c r="M49" s="386">
        <v>70</v>
      </c>
      <c r="N49" s="386">
        <v>85</v>
      </c>
      <c r="O49" s="386">
        <v>100</v>
      </c>
      <c r="P49" s="386">
        <v>110</v>
      </c>
      <c r="Q49" s="386">
        <v>125</v>
      </c>
      <c r="R49" s="386">
        <v>155</v>
      </c>
      <c r="T49" s="669">
        <f t="shared" si="9"/>
        <v>0.5</v>
      </c>
      <c r="U49" s="669">
        <f t="shared" si="10"/>
        <v>0.35294117647058826</v>
      </c>
      <c r="V49" s="669">
        <f t="shared" si="11"/>
        <v>0.2</v>
      </c>
      <c r="W49" s="669">
        <f t="shared" si="12"/>
        <v>0.18181818181818182</v>
      </c>
      <c r="X49" s="669">
        <f t="shared" si="13"/>
        <v>0.2</v>
      </c>
      <c r="Y49" s="669">
        <f t="shared" si="14"/>
        <v>0.16129032258064516</v>
      </c>
    </row>
    <row r="50" spans="9:25" hidden="1" outlineLevel="1" x14ac:dyDescent="0.25">
      <c r="J50" s="19">
        <v>9</v>
      </c>
      <c r="M50" s="386">
        <v>100</v>
      </c>
      <c r="N50" s="386">
        <v>110</v>
      </c>
      <c r="O50" s="386">
        <v>125</v>
      </c>
      <c r="P50" s="386">
        <v>135</v>
      </c>
      <c r="Q50" s="386">
        <v>155</v>
      </c>
      <c r="R50" s="386">
        <v>190</v>
      </c>
      <c r="T50" s="669">
        <f t="shared" si="9"/>
        <v>0.1</v>
      </c>
      <c r="U50" s="669">
        <f t="shared" si="10"/>
        <v>0.13636363636363635</v>
      </c>
      <c r="V50" s="669">
        <f t="shared" si="11"/>
        <v>0.12</v>
      </c>
      <c r="W50" s="669">
        <f t="shared" si="12"/>
        <v>0.18518518518518517</v>
      </c>
      <c r="X50" s="669">
        <f t="shared" si="13"/>
        <v>0.16129032258064516</v>
      </c>
      <c r="Y50" s="669">
        <f t="shared" si="14"/>
        <v>0.13157894736842105</v>
      </c>
    </row>
    <row r="51" spans="9:25" hidden="1" outlineLevel="1" x14ac:dyDescent="0.25"/>
    <row r="52" spans="9:25" hidden="1" outlineLevel="1" x14ac:dyDescent="0.25"/>
    <row r="53" spans="9:25" hidden="1" outlineLevel="1" x14ac:dyDescent="0.25">
      <c r="I53" s="685"/>
      <c r="J53" s="19">
        <v>1</v>
      </c>
      <c r="M53" s="686">
        <f>MROUND(PRODUCT(M64,(1+INDEX($T$64:$Y$72,MATCH($J53,$J$64:$J$72,0),MATCH(M$39,$T$39:$Y$39,0)))),5)</f>
        <v>85</v>
      </c>
      <c r="N53" s="686">
        <f>MROUND(PRODUCT(N64,(1+INDEX($T$64:$Y$72,MATCH($J53,$J$64:$J$72,0),MATCH(N$39,$T$39:$Y$39,0)))),5)</f>
        <v>100</v>
      </c>
      <c r="O53" s="686">
        <f t="shared" ref="O53:R53" si="15">MROUND(PRODUCT(O64,(1+INDEX($T$64:$Y$72,MATCH($J53,$J$64:$J$72,0),MATCH(O$39,$T$39:$Y$39,0)))),5)</f>
        <v>120</v>
      </c>
      <c r="P53" s="686">
        <f t="shared" si="15"/>
        <v>140</v>
      </c>
      <c r="Q53" s="686">
        <f t="shared" si="15"/>
        <v>160</v>
      </c>
      <c r="R53" s="686">
        <f t="shared" si="15"/>
        <v>205</v>
      </c>
    </row>
    <row r="54" spans="9:25" hidden="1" outlineLevel="1" x14ac:dyDescent="0.25">
      <c r="I54" s="685"/>
      <c r="J54" s="19">
        <v>2</v>
      </c>
      <c r="M54" s="686">
        <f t="shared" ref="M54:R54" si="16">MROUND(PRODUCT(M65,(1+INDEX($T$64:$Y$72,MATCH($J54,$J$64:$J$72,0),MATCH(M$39,$T$39:$Y$39,0)))),5)</f>
        <v>75</v>
      </c>
      <c r="N54" s="686">
        <f t="shared" si="16"/>
        <v>85</v>
      </c>
      <c r="O54" s="686">
        <f t="shared" si="16"/>
        <v>95</v>
      </c>
      <c r="P54" s="686">
        <f t="shared" si="16"/>
        <v>100</v>
      </c>
      <c r="Q54" s="686">
        <f t="shared" si="16"/>
        <v>120</v>
      </c>
      <c r="R54" s="686">
        <f t="shared" si="16"/>
        <v>150</v>
      </c>
    </row>
    <row r="55" spans="9:25" hidden="1" outlineLevel="1" x14ac:dyDescent="0.25">
      <c r="I55" s="685"/>
      <c r="J55" s="19">
        <v>3</v>
      </c>
      <c r="M55" s="686">
        <f t="shared" ref="M55:R55" si="17">MROUND(PRODUCT(M66,(1+INDEX($T$64:$Y$72,MATCH($J55,$J$64:$J$72,0),MATCH(M$39,$T$39:$Y$39,0)))),5)</f>
        <v>70</v>
      </c>
      <c r="N55" s="686">
        <f t="shared" si="17"/>
        <v>75</v>
      </c>
      <c r="O55" s="686">
        <f t="shared" si="17"/>
        <v>85</v>
      </c>
      <c r="P55" s="686">
        <f t="shared" si="17"/>
        <v>95</v>
      </c>
      <c r="Q55" s="686">
        <f t="shared" si="17"/>
        <v>115</v>
      </c>
      <c r="R55" s="686">
        <f t="shared" si="17"/>
        <v>135</v>
      </c>
    </row>
    <row r="56" spans="9:25" hidden="1" outlineLevel="1" x14ac:dyDescent="0.25">
      <c r="I56" s="685"/>
      <c r="J56" s="19">
        <v>4</v>
      </c>
      <c r="M56" s="686">
        <f t="shared" ref="M56:R56" si="18">MROUND(PRODUCT(M67,(1+INDEX($T$64:$Y$72,MATCH($J56,$J$64:$J$72,0),MATCH(M$39,$T$39:$Y$39,0)))),5)</f>
        <v>65</v>
      </c>
      <c r="N56" s="686">
        <f t="shared" si="18"/>
        <v>70</v>
      </c>
      <c r="O56" s="686">
        <f t="shared" si="18"/>
        <v>80</v>
      </c>
      <c r="P56" s="686">
        <f t="shared" si="18"/>
        <v>90</v>
      </c>
      <c r="Q56" s="686">
        <f t="shared" si="18"/>
        <v>105</v>
      </c>
      <c r="R56" s="686">
        <f t="shared" si="18"/>
        <v>125</v>
      </c>
    </row>
    <row r="57" spans="9:25" hidden="1" outlineLevel="1" x14ac:dyDescent="0.25">
      <c r="I57" s="685"/>
      <c r="J57" s="19">
        <v>5</v>
      </c>
      <c r="M57" s="686">
        <f t="shared" ref="M57:R57" si="19">MROUND(PRODUCT(M68,(1+INDEX($T$64:$Y$72,MATCH($J57,$J$64:$J$72,0),MATCH(M$39,$T$39:$Y$39,0)))),5)</f>
        <v>75</v>
      </c>
      <c r="N57" s="686">
        <f t="shared" si="19"/>
        <v>85</v>
      </c>
      <c r="O57" s="686">
        <f t="shared" si="19"/>
        <v>85</v>
      </c>
      <c r="P57" s="686">
        <f t="shared" si="19"/>
        <v>100</v>
      </c>
      <c r="Q57" s="686">
        <f t="shared" si="19"/>
        <v>110</v>
      </c>
      <c r="R57" s="686">
        <f t="shared" si="19"/>
        <v>130</v>
      </c>
    </row>
    <row r="58" spans="9:25" hidden="1" outlineLevel="1" x14ac:dyDescent="0.25">
      <c r="I58" s="685"/>
      <c r="J58" s="19">
        <v>6</v>
      </c>
      <c r="M58" s="686">
        <f t="shared" ref="M58:R58" si="20">MROUND(PRODUCT(M69,(1+INDEX($T$64:$Y$72,MATCH($J58,$J$64:$J$72,0),MATCH(M$39,$T$39:$Y$39,0)))),5)</f>
        <v>85</v>
      </c>
      <c r="N58" s="686">
        <f t="shared" si="20"/>
        <v>90</v>
      </c>
      <c r="O58" s="686">
        <f t="shared" si="20"/>
        <v>95</v>
      </c>
      <c r="P58" s="686">
        <f t="shared" si="20"/>
        <v>105</v>
      </c>
      <c r="Q58" s="686">
        <f t="shared" si="20"/>
        <v>120</v>
      </c>
      <c r="R58" s="686">
        <f t="shared" si="20"/>
        <v>150</v>
      </c>
    </row>
    <row r="59" spans="9:25" hidden="1" outlineLevel="1" x14ac:dyDescent="0.25">
      <c r="I59" s="685"/>
      <c r="J59" s="19">
        <v>7</v>
      </c>
      <c r="M59" s="686">
        <f t="shared" ref="M59:R59" si="21">MROUND(PRODUCT(M70,(1+INDEX($T$64:$Y$72,MATCH($J59,$J$64:$J$72,0),MATCH(M$39,$T$39:$Y$39,0)))),5)</f>
        <v>95</v>
      </c>
      <c r="N59" s="686">
        <f t="shared" si="21"/>
        <v>100</v>
      </c>
      <c r="O59" s="686">
        <f t="shared" si="21"/>
        <v>105</v>
      </c>
      <c r="P59" s="686">
        <f t="shared" si="21"/>
        <v>115</v>
      </c>
      <c r="Q59" s="686">
        <f t="shared" si="21"/>
        <v>130</v>
      </c>
      <c r="R59" s="686">
        <f t="shared" si="21"/>
        <v>165</v>
      </c>
    </row>
    <row r="60" spans="9:25" hidden="1" outlineLevel="1" x14ac:dyDescent="0.25">
      <c r="I60" s="685"/>
      <c r="J60" s="19">
        <v>8</v>
      </c>
      <c r="M60" s="686">
        <f t="shared" ref="M60:R60" si="22">MROUND(PRODUCT(M71,(1+INDEX($T$64:$Y$72,MATCH($J60,$J$64:$J$72,0),MATCH(M$39,$T$39:$Y$39,0)))),5)</f>
        <v>105</v>
      </c>
      <c r="N60" s="686">
        <f t="shared" si="22"/>
        <v>115</v>
      </c>
      <c r="O60" s="686">
        <f t="shared" si="22"/>
        <v>120</v>
      </c>
      <c r="P60" s="686">
        <f t="shared" si="22"/>
        <v>130</v>
      </c>
      <c r="Q60" s="686">
        <f t="shared" si="22"/>
        <v>150</v>
      </c>
      <c r="R60" s="686">
        <f t="shared" si="22"/>
        <v>180</v>
      </c>
    </row>
    <row r="61" spans="9:25" hidden="1" outlineLevel="1" x14ac:dyDescent="0.25">
      <c r="I61" s="685"/>
      <c r="J61" s="19">
        <v>9</v>
      </c>
      <c r="M61" s="686">
        <f t="shared" ref="M61:R61" si="23">MROUND(PRODUCT(M72,(1+INDEX($T$64:$Y$72,MATCH($J61,$J$64:$J$72,0),MATCH(M$39,$T$39:$Y$39,0)))),5)</f>
        <v>110</v>
      </c>
      <c r="N61" s="686">
        <f t="shared" si="23"/>
        <v>125</v>
      </c>
      <c r="O61" s="686">
        <f t="shared" si="23"/>
        <v>140</v>
      </c>
      <c r="P61" s="686">
        <f t="shared" si="23"/>
        <v>160</v>
      </c>
      <c r="Q61" s="686">
        <f t="shared" si="23"/>
        <v>180</v>
      </c>
      <c r="R61" s="686">
        <f t="shared" si="23"/>
        <v>215</v>
      </c>
    </row>
    <row r="62" spans="9:25" hidden="1" outlineLevel="1" x14ac:dyDescent="0.25"/>
    <row r="63" spans="9:25" hidden="1" outlineLevel="1" x14ac:dyDescent="0.25">
      <c r="L63" s="18" t="s">
        <v>768</v>
      </c>
    </row>
    <row r="64" spans="9:25" hidden="1" outlineLevel="1" x14ac:dyDescent="0.25">
      <c r="J64" s="19">
        <v>1</v>
      </c>
      <c r="M64" s="386">
        <v>65</v>
      </c>
      <c r="N64" s="386">
        <v>80</v>
      </c>
      <c r="O64" s="386">
        <v>95</v>
      </c>
      <c r="P64" s="386">
        <v>110</v>
      </c>
      <c r="Q64" s="386">
        <v>125</v>
      </c>
      <c r="R64" s="386">
        <v>160</v>
      </c>
      <c r="T64" s="685">
        <v>0.28000000000000003</v>
      </c>
      <c r="U64" s="685">
        <v>0.28000000000000003</v>
      </c>
      <c r="V64" s="685">
        <v>0.28000000000000003</v>
      </c>
      <c r="W64" s="685">
        <v>0.28000000000000003</v>
      </c>
      <c r="X64" s="685">
        <v>0.28000000000000003</v>
      </c>
      <c r="Y64" s="685">
        <v>0.28000000000000003</v>
      </c>
    </row>
    <row r="65" spans="10:25" hidden="1" outlineLevel="1" x14ac:dyDescent="0.25">
      <c r="J65" s="19">
        <v>2</v>
      </c>
      <c r="M65" s="386">
        <v>60</v>
      </c>
      <c r="N65" s="386">
        <v>65</v>
      </c>
      <c r="O65" s="386">
        <v>75</v>
      </c>
      <c r="P65" s="386">
        <v>80</v>
      </c>
      <c r="Q65" s="386">
        <v>95</v>
      </c>
      <c r="R65" s="386">
        <v>120</v>
      </c>
      <c r="T65" s="685">
        <v>0.27</v>
      </c>
      <c r="U65" s="685">
        <v>0.27</v>
      </c>
      <c r="V65" s="685">
        <v>0.27</v>
      </c>
      <c r="W65" s="685">
        <v>0.27</v>
      </c>
      <c r="X65" s="685">
        <v>0.27</v>
      </c>
      <c r="Y65" s="685">
        <v>0.27</v>
      </c>
    </row>
    <row r="66" spans="10:25" hidden="1" outlineLevel="1" x14ac:dyDescent="0.25">
      <c r="J66" s="19">
        <v>3</v>
      </c>
      <c r="M66" s="386">
        <v>55</v>
      </c>
      <c r="N66" s="386">
        <v>60</v>
      </c>
      <c r="O66" s="386">
        <v>65</v>
      </c>
      <c r="P66" s="386">
        <v>75</v>
      </c>
      <c r="Q66" s="386">
        <v>90</v>
      </c>
      <c r="R66" s="386">
        <v>105</v>
      </c>
      <c r="T66" s="685">
        <v>0.28999999999999998</v>
      </c>
      <c r="U66" s="685">
        <v>0.28999999999999998</v>
      </c>
      <c r="V66" s="685">
        <v>0.28999999999999998</v>
      </c>
      <c r="W66" s="685">
        <v>0.28999999999999998</v>
      </c>
      <c r="X66" s="685">
        <v>0.28999999999999998</v>
      </c>
      <c r="Y66" s="685">
        <v>0.28999999999999998</v>
      </c>
    </row>
    <row r="67" spans="10:25" hidden="1" outlineLevel="1" x14ac:dyDescent="0.25">
      <c r="J67" s="19">
        <v>4</v>
      </c>
      <c r="M67" s="386">
        <v>50</v>
      </c>
      <c r="N67" s="386">
        <v>55</v>
      </c>
      <c r="O67" s="386">
        <v>60</v>
      </c>
      <c r="P67" s="386">
        <v>70</v>
      </c>
      <c r="Q67" s="386">
        <v>80</v>
      </c>
      <c r="R67" s="386">
        <v>95</v>
      </c>
      <c r="T67" s="685">
        <v>0.3</v>
      </c>
      <c r="U67" s="685">
        <v>0.3</v>
      </c>
      <c r="V67" s="685">
        <v>0.3</v>
      </c>
      <c r="W67" s="685">
        <v>0.3</v>
      </c>
      <c r="X67" s="685">
        <v>0.3</v>
      </c>
      <c r="Y67" s="685">
        <v>0.3</v>
      </c>
    </row>
    <row r="68" spans="10:25" hidden="1" outlineLevel="1" x14ac:dyDescent="0.25">
      <c r="J68" s="19">
        <v>5</v>
      </c>
      <c r="M68" s="386">
        <v>65</v>
      </c>
      <c r="N68" s="386">
        <v>70</v>
      </c>
      <c r="O68" s="386">
        <v>70</v>
      </c>
      <c r="P68" s="386">
        <v>85</v>
      </c>
      <c r="Q68" s="386">
        <v>95</v>
      </c>
      <c r="R68" s="386">
        <v>110</v>
      </c>
      <c r="T68" s="685">
        <v>0.18</v>
      </c>
      <c r="U68" s="685">
        <v>0.18</v>
      </c>
      <c r="V68" s="685">
        <v>0.18</v>
      </c>
      <c r="W68" s="685">
        <v>0.18</v>
      </c>
      <c r="X68" s="685">
        <v>0.18</v>
      </c>
      <c r="Y68" s="685">
        <v>0.18</v>
      </c>
    </row>
    <row r="69" spans="10:25" hidden="1" outlineLevel="1" x14ac:dyDescent="0.25">
      <c r="J69" s="19">
        <v>6</v>
      </c>
      <c r="M69" s="386">
        <v>75</v>
      </c>
      <c r="N69" s="386">
        <v>80</v>
      </c>
      <c r="O69" s="386">
        <v>85</v>
      </c>
      <c r="P69" s="386">
        <v>95</v>
      </c>
      <c r="Q69" s="386">
        <v>110</v>
      </c>
      <c r="R69" s="386">
        <v>135</v>
      </c>
      <c r="T69" s="685">
        <v>0.1</v>
      </c>
      <c r="U69" s="685">
        <v>0.1</v>
      </c>
      <c r="V69" s="685">
        <v>0.1</v>
      </c>
      <c r="W69" s="685">
        <v>0.1</v>
      </c>
      <c r="X69" s="685">
        <v>0.1</v>
      </c>
      <c r="Y69" s="685">
        <v>0.1</v>
      </c>
    </row>
    <row r="70" spans="10:25" hidden="1" outlineLevel="1" x14ac:dyDescent="0.25">
      <c r="J70" s="19">
        <v>7</v>
      </c>
      <c r="M70" s="386">
        <v>85</v>
      </c>
      <c r="N70" s="386">
        <v>90</v>
      </c>
      <c r="O70" s="386">
        <v>95</v>
      </c>
      <c r="P70" s="386">
        <v>105</v>
      </c>
      <c r="Q70" s="386">
        <v>120</v>
      </c>
      <c r="R70" s="386">
        <v>150</v>
      </c>
      <c r="T70" s="685">
        <v>0.1</v>
      </c>
      <c r="U70" s="685">
        <v>0.1</v>
      </c>
      <c r="V70" s="685">
        <v>0.1</v>
      </c>
      <c r="W70" s="685">
        <v>0.1</v>
      </c>
      <c r="X70" s="685">
        <v>0.1</v>
      </c>
      <c r="Y70" s="685">
        <v>0.1</v>
      </c>
    </row>
    <row r="71" spans="10:25" hidden="1" outlineLevel="1" x14ac:dyDescent="0.25">
      <c r="J71" s="19">
        <v>8</v>
      </c>
      <c r="M71" s="386">
        <v>95</v>
      </c>
      <c r="N71" s="386">
        <v>105</v>
      </c>
      <c r="O71" s="386">
        <v>110</v>
      </c>
      <c r="P71" s="386">
        <v>120</v>
      </c>
      <c r="Q71" s="386">
        <v>135</v>
      </c>
      <c r="R71" s="386">
        <v>165</v>
      </c>
      <c r="T71" s="685">
        <v>0.1</v>
      </c>
      <c r="U71" s="685">
        <v>0.1</v>
      </c>
      <c r="V71" s="685">
        <v>0.1</v>
      </c>
      <c r="W71" s="685">
        <v>0.1</v>
      </c>
      <c r="X71" s="685">
        <v>0.1</v>
      </c>
      <c r="Y71" s="685">
        <v>0.1</v>
      </c>
    </row>
    <row r="72" spans="10:25" hidden="1" outlineLevel="1" x14ac:dyDescent="0.25">
      <c r="J72" s="19">
        <v>9</v>
      </c>
      <c r="M72" s="386">
        <v>105</v>
      </c>
      <c r="N72" s="386">
        <v>120</v>
      </c>
      <c r="O72" s="386">
        <v>135</v>
      </c>
      <c r="P72" s="386">
        <v>150</v>
      </c>
      <c r="Q72" s="386">
        <v>170</v>
      </c>
      <c r="R72" s="386">
        <v>205</v>
      </c>
      <c r="T72" s="685">
        <v>0.05</v>
      </c>
      <c r="U72" s="685">
        <v>0.05</v>
      </c>
      <c r="V72" s="685">
        <v>0.05</v>
      </c>
      <c r="W72" s="685">
        <v>0.05</v>
      </c>
      <c r="X72" s="685">
        <v>0.05</v>
      </c>
      <c r="Y72" s="685">
        <v>0.05</v>
      </c>
    </row>
    <row r="73" spans="10:25" hidden="1" outlineLevel="1" x14ac:dyDescent="0.25">
      <c r="J73" s="19"/>
      <c r="M73" s="386"/>
      <c r="N73" s="386"/>
      <c r="O73" s="386"/>
      <c r="P73" s="386"/>
      <c r="Q73" s="386"/>
      <c r="R73" s="386"/>
    </row>
    <row r="74" spans="10:25" hidden="1" outlineLevel="1" x14ac:dyDescent="0.25">
      <c r="L74" s="18" t="s">
        <v>767</v>
      </c>
    </row>
    <row r="75" spans="10:25" hidden="1" outlineLevel="1" x14ac:dyDescent="0.25">
      <c r="J75" s="19">
        <v>1</v>
      </c>
      <c r="M75" s="386">
        <v>50</v>
      </c>
      <c r="N75" s="386">
        <v>67</v>
      </c>
      <c r="O75" s="386">
        <v>80</v>
      </c>
      <c r="P75" s="386">
        <v>95</v>
      </c>
      <c r="Q75" s="386">
        <v>107</v>
      </c>
      <c r="R75" s="386">
        <v>120</v>
      </c>
    </row>
    <row r="76" spans="10:25" hidden="1" outlineLevel="1" x14ac:dyDescent="0.25">
      <c r="J76" s="19">
        <v>2</v>
      </c>
      <c r="M76" s="386">
        <v>45</v>
      </c>
      <c r="N76" s="386">
        <v>49</v>
      </c>
      <c r="O76" s="386">
        <v>63</v>
      </c>
      <c r="P76" s="386">
        <v>67</v>
      </c>
      <c r="Q76" s="386">
        <v>79</v>
      </c>
      <c r="R76" s="386">
        <v>90</v>
      </c>
    </row>
    <row r="77" spans="10:25" hidden="1" outlineLevel="1" x14ac:dyDescent="0.25">
      <c r="J77" s="19">
        <v>3</v>
      </c>
      <c r="M77" s="386">
        <v>45</v>
      </c>
      <c r="N77" s="386">
        <v>49</v>
      </c>
      <c r="O77" s="386">
        <v>60</v>
      </c>
      <c r="P77" s="386">
        <v>69</v>
      </c>
      <c r="Q77" s="386">
        <v>75</v>
      </c>
      <c r="R77" s="386">
        <v>81</v>
      </c>
    </row>
    <row r="78" spans="10:25" hidden="1" outlineLevel="1" x14ac:dyDescent="0.25">
      <c r="J78" s="19">
        <v>4</v>
      </c>
      <c r="M78" s="386">
        <v>45</v>
      </c>
      <c r="N78" s="386">
        <v>49</v>
      </c>
      <c r="O78" s="386">
        <v>67</v>
      </c>
      <c r="P78" s="386">
        <v>74</v>
      </c>
      <c r="Q78" s="386">
        <v>81</v>
      </c>
      <c r="R78" s="386">
        <v>88</v>
      </c>
    </row>
    <row r="79" spans="10:25" hidden="1" outlineLevel="1" x14ac:dyDescent="0.25">
      <c r="J79" s="19">
        <v>5</v>
      </c>
      <c r="M79" s="386">
        <v>45</v>
      </c>
      <c r="N79" s="386">
        <v>49</v>
      </c>
      <c r="O79" s="386">
        <v>67</v>
      </c>
      <c r="P79" s="386">
        <v>74</v>
      </c>
      <c r="Q79" s="386">
        <v>81</v>
      </c>
      <c r="R79" s="386">
        <v>88</v>
      </c>
    </row>
    <row r="80" spans="10:25" hidden="1" outlineLevel="1" x14ac:dyDescent="0.25">
      <c r="J80" s="19">
        <v>6</v>
      </c>
      <c r="M80" s="386">
        <v>51</v>
      </c>
      <c r="N80" s="386">
        <v>56</v>
      </c>
      <c r="O80" s="386">
        <v>67</v>
      </c>
      <c r="P80" s="386">
        <v>67</v>
      </c>
      <c r="Q80" s="386">
        <v>81</v>
      </c>
      <c r="R80" s="386">
        <v>95</v>
      </c>
    </row>
    <row r="81" spans="10:25" hidden="1" outlineLevel="1" x14ac:dyDescent="0.25">
      <c r="J81" s="19">
        <v>7</v>
      </c>
      <c r="M81" s="386">
        <v>51</v>
      </c>
      <c r="N81" s="386">
        <v>56</v>
      </c>
      <c r="O81" s="386">
        <v>69</v>
      </c>
      <c r="P81" s="386">
        <v>69</v>
      </c>
      <c r="Q81" s="386">
        <v>88</v>
      </c>
      <c r="R81" s="386">
        <v>100</v>
      </c>
    </row>
    <row r="82" spans="10:25" hidden="1" outlineLevel="1" x14ac:dyDescent="0.25">
      <c r="J82" s="19">
        <v>8</v>
      </c>
      <c r="M82" s="386">
        <v>51</v>
      </c>
      <c r="N82" s="386">
        <v>67</v>
      </c>
      <c r="O82" s="386">
        <v>80</v>
      </c>
      <c r="P82" s="386">
        <v>80</v>
      </c>
      <c r="Q82" s="386">
        <v>106</v>
      </c>
      <c r="R82" s="386">
        <v>119</v>
      </c>
      <c r="T82" s="560">
        <f t="shared" ref="T82:Y82" si="24">IFERROR(((M82-F82)/F82),0)</f>
        <v>0</v>
      </c>
      <c r="U82" s="560">
        <f t="shared" si="24"/>
        <v>0</v>
      </c>
      <c r="V82" s="560">
        <f t="shared" si="24"/>
        <v>0</v>
      </c>
      <c r="W82" s="560">
        <f t="shared" si="24"/>
        <v>0</v>
      </c>
      <c r="X82" s="560">
        <f t="shared" si="24"/>
        <v>12.25</v>
      </c>
      <c r="Y82" s="560">
        <f t="shared" si="24"/>
        <v>0</v>
      </c>
    </row>
    <row r="83" spans="10:25" hidden="1" outlineLevel="1" x14ac:dyDescent="0.25">
      <c r="J83" s="19">
        <v>9</v>
      </c>
      <c r="M83" s="386">
        <v>80</v>
      </c>
      <c r="N83" s="386">
        <v>87</v>
      </c>
      <c r="O83" s="386">
        <v>100</v>
      </c>
      <c r="P83" s="386">
        <v>100</v>
      </c>
      <c r="Q83" s="386">
        <v>141</v>
      </c>
      <c r="R83" s="386">
        <v>164</v>
      </c>
    </row>
    <row r="84" spans="10:25" hidden="1" outlineLevel="1" x14ac:dyDescent="0.25">
      <c r="M84" s="11"/>
      <c r="N84" s="11"/>
      <c r="O84" s="11"/>
      <c r="P84" s="11"/>
      <c r="Q84" s="11"/>
      <c r="R84" s="11"/>
    </row>
    <row r="85" spans="10:25" hidden="1" outlineLevel="1" x14ac:dyDescent="0.25"/>
  </sheetData>
  <sheetProtection algorithmName="SHA-512" hashValue="ssybw9Y8TmsFw0mYwTMURRvpBxtqONMsz+ZoX/7hSOUopRA+6zlwqfpPQFTHxP/XJSnKjxOGl/uhF/X+1Cp1fA==" saltValue="TY6xKpn8suYiuePyciyT7A==" spinCount="100000" sheet="1" objects="1" scenarios="1"/>
  <conditionalFormatting sqref="L9:L11">
    <cfRule type="expression" dxfId="19" priority="1">
      <formula>#REF!="y"</formula>
    </cfRule>
  </conditionalFormatting>
  <pageMargins left="0.7" right="0.7" top="0.75" bottom="0.75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44741-2D46-4590-92B0-13F2E11D95E8}">
  <sheetPr>
    <outlinePr summaryBelow="0"/>
  </sheetPr>
  <dimension ref="C1:U145"/>
  <sheetViews>
    <sheetView showGridLines="0" zoomScale="90" zoomScaleNormal="90" workbookViewId="0">
      <selection activeCell="L105" sqref="L105"/>
    </sheetView>
  </sheetViews>
  <sheetFormatPr defaultRowHeight="15" outlineLevelRow="2" outlineLevelCol="1" x14ac:dyDescent="0.25"/>
  <cols>
    <col min="1" max="2" width="1.7109375" customWidth="1"/>
    <col min="3" max="4" width="10" hidden="1" customWidth="1" outlineLevel="1"/>
    <col min="5" max="5" width="2.7109375" hidden="1" customWidth="1" outlineLevel="1"/>
    <col min="6" max="7" width="10.85546875" hidden="1" customWidth="1" outlineLevel="1"/>
    <col min="8" max="8" width="2.7109375" hidden="1" customWidth="1" outlineLevel="1"/>
    <col min="9" max="10" width="11.28515625" hidden="1" customWidth="1" outlineLevel="1"/>
    <col min="11" max="11" width="1.7109375" hidden="1" customWidth="1" outlineLevel="1"/>
    <col min="12" max="12" width="26.5703125" customWidth="1" collapsed="1"/>
    <col min="13" max="16" width="16.28515625" customWidth="1"/>
    <col min="17" max="17" width="1.7109375" customWidth="1"/>
    <col min="18" max="22" width="17.42578125" customWidth="1"/>
  </cols>
  <sheetData>
    <row r="1" spans="3:12" ht="5.0999999999999996" customHeight="1" x14ac:dyDescent="0.25"/>
    <row r="2" spans="3:12" ht="21" x14ac:dyDescent="0.35">
      <c r="L2" s="1" t="s">
        <v>643</v>
      </c>
    </row>
    <row r="3" spans="3:12" ht="15.75" collapsed="1" x14ac:dyDescent="0.25">
      <c r="L3" s="9" t="s">
        <v>775</v>
      </c>
    </row>
    <row r="4" spans="3:12" hidden="1" outlineLevel="1" x14ac:dyDescent="0.25">
      <c r="C4" s="743" t="s">
        <v>893</v>
      </c>
      <c r="D4" s="743" t="s">
        <v>894</v>
      </c>
    </row>
    <row r="5" spans="3:12" hidden="1" outlineLevel="1" x14ac:dyDescent="0.25">
      <c r="C5" s="2">
        <v>200</v>
      </c>
      <c r="D5" s="2" t="s">
        <v>837</v>
      </c>
    </row>
    <row r="6" spans="3:12" hidden="1" outlineLevel="1" x14ac:dyDescent="0.25"/>
    <row r="7" spans="3:12" hidden="1" outlineLevel="1" x14ac:dyDescent="0.25"/>
    <row r="9" spans="3:12" x14ac:dyDescent="0.25">
      <c r="C9" s="511" t="s">
        <v>648</v>
      </c>
      <c r="D9" s="515" t="s">
        <v>652</v>
      </c>
      <c r="K9" s="508"/>
      <c r="L9" s="511" t="str">
        <f>_xlfn.CONCAT($C$9,"  ",D9)</f>
        <v>•  Class X (.00004" or .001mm tolerance)</v>
      </c>
    </row>
    <row r="10" spans="3:12" x14ac:dyDescent="0.25">
      <c r="D10" s="515" t="s">
        <v>678</v>
      </c>
      <c r="L10" s="511" t="str">
        <f>_xlfn.CONCAT($C$9,"  ",D10)</f>
        <v>•  Go (Plus), NoGo (Minus), or Master (Bilateral) tolerance</v>
      </c>
    </row>
    <row r="11" spans="3:12" collapsed="1" x14ac:dyDescent="0.25">
      <c r="D11" s="515" t="s">
        <v>662</v>
      </c>
      <c r="F11" s="35"/>
      <c r="L11" s="511" t="str">
        <f>_xlfn.CONCAT($C$9,"  ",D11)</f>
        <v>•  Go/NoGo assemblies quoted upon request</v>
      </c>
    </row>
    <row r="12" spans="3:12" hidden="1" outlineLevel="1" x14ac:dyDescent="0.25">
      <c r="F12" s="35"/>
      <c r="L12" s="35"/>
    </row>
    <row r="13" spans="3:12" hidden="1" outlineLevel="1" x14ac:dyDescent="0.25">
      <c r="C13" s="698" t="s">
        <v>765</v>
      </c>
      <c r="D13" s="104"/>
      <c r="E13" s="513"/>
      <c r="F13" s="104"/>
      <c r="L13" s="35"/>
    </row>
    <row r="14" spans="3:12" hidden="1" outlineLevel="1" x14ac:dyDescent="0.25">
      <c r="C14" s="698"/>
      <c r="D14" s="104"/>
      <c r="E14" s="513"/>
      <c r="F14" s="104"/>
      <c r="L14" s="35"/>
    </row>
    <row r="15" spans="3:12" hidden="1" outlineLevel="1" x14ac:dyDescent="0.25">
      <c r="F15" s="593">
        <v>25.4</v>
      </c>
      <c r="L15" s="35"/>
    </row>
    <row r="16" spans="3:12" ht="15.75" hidden="1" outlineLevel="1" x14ac:dyDescent="0.25">
      <c r="D16" s="700">
        <v>1E-4</v>
      </c>
      <c r="E16" s="700"/>
      <c r="F16" s="700">
        <v>1E-3</v>
      </c>
      <c r="L16" s="9"/>
    </row>
    <row r="17" spans="3:16" ht="16.5" thickBot="1" x14ac:dyDescent="0.3">
      <c r="D17" s="700"/>
      <c r="E17" s="700"/>
      <c r="F17" s="700"/>
      <c r="L17" s="9"/>
    </row>
    <row r="18" spans="3:16" x14ac:dyDescent="0.25">
      <c r="C18" s="22" t="s">
        <v>634</v>
      </c>
      <c r="D18" s="3"/>
      <c r="F18" s="22" t="s">
        <v>649</v>
      </c>
      <c r="G18" s="5"/>
      <c r="J18" s="5"/>
      <c r="L18" s="767" t="s">
        <v>904</v>
      </c>
      <c r="M18" s="772"/>
      <c r="N18" s="772"/>
      <c r="O18" s="772"/>
      <c r="P18" s="773"/>
    </row>
    <row r="19" spans="3:16" x14ac:dyDescent="0.25">
      <c r="C19" s="21" t="s">
        <v>6</v>
      </c>
      <c r="D19" s="20"/>
      <c r="F19" s="21" t="s">
        <v>7</v>
      </c>
      <c r="G19" s="20"/>
      <c r="J19" s="5"/>
      <c r="L19" s="154" t="s">
        <v>3</v>
      </c>
      <c r="M19" s="282">
        <v>3</v>
      </c>
      <c r="N19" s="282">
        <v>4</v>
      </c>
      <c r="O19" s="282">
        <v>5</v>
      </c>
      <c r="P19" s="299">
        <v>6</v>
      </c>
    </row>
    <row r="20" spans="3:16" x14ac:dyDescent="0.25">
      <c r="C20" s="465">
        <v>1.0999999999999999E-2</v>
      </c>
      <c r="D20" s="699">
        <f>C22-$D$16</f>
        <v>3.09E-2</v>
      </c>
      <c r="F20" s="502">
        <v>0.27900000000000003</v>
      </c>
      <c r="G20" s="504">
        <f>PRODUCT(D20,$F$15)</f>
        <v>0.78486</v>
      </c>
      <c r="J20" s="11">
        <v>1</v>
      </c>
      <c r="L20" s="157" t="str">
        <f>_xlfn.CONCAT(TEXT($C20,"#.000#"),"""","  to  ",TEXT($D20,"#.000#"),"""")</f>
        <v>.011"  to  .0309"</v>
      </c>
      <c r="M20" s="284">
        <f>INDEX($M$55:$P$63,MATCH($J20,$J$55:$J$63,0),MATCH(M$19,$M$41:$P$41,0))</f>
        <v>200</v>
      </c>
      <c r="N20" s="284">
        <f>INDEX($M$55:$P$63,MATCH($J20,$J$55:$J$63,0),MATCH(N$19,$M$41:$P$41,0))</f>
        <v>265</v>
      </c>
      <c r="O20" s="284">
        <f>INDEX($M$55:$P$63,MATCH($J20,$J$55:$J$63,0),MATCH(O$19,$M$41:$P$41,0))</f>
        <v>475</v>
      </c>
      <c r="P20" s="285">
        <f>INDEX($M$55:$P$63,MATCH($J20,$J$55:$J$63,0),MATCH(P$19,$M$41:$P$41,0))</f>
        <v>575</v>
      </c>
    </row>
    <row r="21" spans="3:16" x14ac:dyDescent="0.25">
      <c r="C21" s="5"/>
      <c r="D21" s="4"/>
      <c r="F21" s="503"/>
      <c r="G21" s="503"/>
      <c r="J21" s="11"/>
      <c r="L21" s="286" t="str">
        <f>_xlfn.CONCAT(TEXT($F20,"#.000"),"mm","  to  ",TEXT($G20,"#.000"),"mm")</f>
        <v>.279mm  to  .785mm</v>
      </c>
      <c r="M21" s="287"/>
      <c r="N21" s="287"/>
      <c r="O21" s="287"/>
      <c r="P21" s="288"/>
    </row>
    <row r="22" spans="3:16" x14ac:dyDescent="0.25">
      <c r="C22" s="465">
        <v>3.1E-2</v>
      </c>
      <c r="D22" s="699">
        <f>C24-$D$16</f>
        <v>7.5899999999999995E-2</v>
      </c>
      <c r="F22" s="504">
        <f>G20+$F$16</f>
        <v>0.78586</v>
      </c>
      <c r="G22" s="504">
        <f>PRODUCT(D22,$F$15)</f>
        <v>1.9278599999999997</v>
      </c>
      <c r="J22" s="11">
        <v>2</v>
      </c>
      <c r="L22" s="166" t="str">
        <f>_xlfn.CONCAT(TEXT($C22,"#.000#"),"""","  to  ",TEXT($D22,"#.000#"),"""")</f>
        <v>.031"  to  .0759"</v>
      </c>
      <c r="M22" s="289">
        <f>INDEX($M$55:$P$63,MATCH($J22,$J$55:$J$63,0),MATCH(M$19,$M$41:$P$41,0))</f>
        <v>155</v>
      </c>
      <c r="N22" s="289">
        <f>INDEX($M$55:$P$63,MATCH($J22,$J$55:$J$63,0),MATCH(N$19,$M$41:$P$41,0))</f>
        <v>195</v>
      </c>
      <c r="O22" s="289">
        <f>INDEX($M$55:$P$63,MATCH($J22,$J$55:$J$63,0),MATCH(O$19,$M$41:$P$41,0))</f>
        <v>340</v>
      </c>
      <c r="P22" s="290">
        <f>INDEX($M$55:$P$63,MATCH($J22,$J$55:$J$63,0),MATCH(P$19,$M$41:$P$41,0))</f>
        <v>475</v>
      </c>
    </row>
    <row r="23" spans="3:16" x14ac:dyDescent="0.25">
      <c r="C23" s="465"/>
      <c r="D23" s="465"/>
      <c r="F23" s="504"/>
      <c r="G23" s="503"/>
      <c r="J23" s="11"/>
      <c r="L23" s="291" t="str">
        <f>_xlfn.CONCAT(TEXT($F22,"#.000"),"mm","  to  ",TEXT($G22,"#.000"),"mm")</f>
        <v>.786mm  to  1.928mm</v>
      </c>
      <c r="M23" s="292"/>
      <c r="N23" s="292"/>
      <c r="O23" s="292"/>
      <c r="P23" s="293"/>
    </row>
    <row r="24" spans="3:16" x14ac:dyDescent="0.25">
      <c r="C24" s="465">
        <v>7.5999999999999998E-2</v>
      </c>
      <c r="D24" s="699">
        <f>C26-$D$16</f>
        <v>0.18090000000000001</v>
      </c>
      <c r="F24" s="504">
        <f>G22+$F$16</f>
        <v>1.9288599999999996</v>
      </c>
      <c r="G24" s="504">
        <f>PRODUCT(D24,$F$15)</f>
        <v>4.5948599999999997</v>
      </c>
      <c r="J24" s="11">
        <v>3</v>
      </c>
      <c r="L24" s="157" t="str">
        <f>_xlfn.CONCAT(TEXT($C24,"#.000#"),"""","  to  ",TEXT($D24,"#.000#"),"""")</f>
        <v>.076"  to  .1809"</v>
      </c>
      <c r="M24" s="294">
        <f>INDEX($M$55:$P$63,MATCH($J24,$J$55:$J$63,0),MATCH(M$19,$M$41:$P$41,0))</f>
        <v>115</v>
      </c>
      <c r="N24" s="294">
        <f>INDEX($M$55:$P$63,MATCH($J24,$J$55:$J$63,0),MATCH(N$19,$M$41:$P$41,0))</f>
        <v>140</v>
      </c>
      <c r="O24" s="294">
        <f>INDEX($M$55:$P$63,MATCH($J24,$J$55:$J$63,0),MATCH(O$19,$M$41:$P$41,0))</f>
        <v>190</v>
      </c>
      <c r="P24" s="295">
        <f>INDEX($M$55:$P$63,MATCH($J24,$J$55:$J$63,0),MATCH(P$19,$M$41:$P$41,0))</f>
        <v>260</v>
      </c>
    </row>
    <row r="25" spans="3:16" x14ac:dyDescent="0.25">
      <c r="C25" s="465"/>
      <c r="D25" s="465"/>
      <c r="F25" s="504"/>
      <c r="G25" s="503"/>
      <c r="J25" s="11"/>
      <c r="L25" s="286" t="str">
        <f>_xlfn.CONCAT(TEXT($F24,"#.000"),"mm","  to  ",TEXT($G24,"#.000"),"mm")</f>
        <v>1.929mm  to  4.595mm</v>
      </c>
      <c r="M25" s="287"/>
      <c r="N25" s="287"/>
      <c r="O25" s="287"/>
      <c r="P25" s="288"/>
    </row>
    <row r="26" spans="3:16" x14ac:dyDescent="0.25">
      <c r="C26" s="465">
        <v>0.18099999999999999</v>
      </c>
      <c r="D26" s="699">
        <f>C28-$D$16</f>
        <v>0.28189999999999998</v>
      </c>
      <c r="F26" s="504">
        <f>G24+$F$16</f>
        <v>4.5958600000000001</v>
      </c>
      <c r="G26" s="504">
        <f>PRODUCT(D26,$F$15)</f>
        <v>7.1602599999999992</v>
      </c>
      <c r="J26" s="11">
        <v>4</v>
      </c>
      <c r="L26" s="166" t="str">
        <f>_xlfn.CONCAT(TEXT($C26,"#.000#"),"""","  to  ",TEXT($D26,"#.000#"),"""")</f>
        <v>.181"  to  .2819"</v>
      </c>
      <c r="M26" s="289">
        <f>INDEX($M$55:$P$63,MATCH($J26,$J$55:$J$63,0),MATCH(M$19,$M$41:$P$41,0))</f>
        <v>105</v>
      </c>
      <c r="N26" s="289">
        <f>INDEX($M$55:$P$63,MATCH($J26,$J$55:$J$63,0),MATCH(N$19,$M$41:$P$41,0))</f>
        <v>130</v>
      </c>
      <c r="O26" s="289">
        <f>INDEX($M$55:$P$63,MATCH($J26,$J$55:$J$63,0),MATCH(O$19,$M$41:$P$41,0))</f>
        <v>170</v>
      </c>
      <c r="P26" s="290">
        <f>INDEX($M$55:$P$63,MATCH($J26,$J$55:$J$63,0),MATCH(P$19,$M$41:$P$41,0))</f>
        <v>210</v>
      </c>
    </row>
    <row r="27" spans="3:16" x14ac:dyDescent="0.25">
      <c r="C27" s="465"/>
      <c r="D27" s="465"/>
      <c r="F27" s="504"/>
      <c r="G27" s="503"/>
      <c r="J27" s="11"/>
      <c r="L27" s="291" t="str">
        <f>_xlfn.CONCAT(TEXT($F26,"#.000"),"mm","  to  ",TEXT($G26,"#.000"),"mm")</f>
        <v>4.596mm  to  7.160mm</v>
      </c>
      <c r="M27" s="292"/>
      <c r="N27" s="292"/>
      <c r="O27" s="292"/>
      <c r="P27" s="293"/>
    </row>
    <row r="28" spans="3:16" x14ac:dyDescent="0.25">
      <c r="C28" s="465">
        <v>0.28199999999999997</v>
      </c>
      <c r="D28" s="699">
        <f>C30-$D$16</f>
        <v>0.40689999999999998</v>
      </c>
      <c r="F28" s="504">
        <f>G26+$F$16</f>
        <v>7.1612599999999995</v>
      </c>
      <c r="G28" s="504">
        <f>PRODUCT(D28,$F$15)</f>
        <v>10.33526</v>
      </c>
      <c r="J28" s="11">
        <v>5</v>
      </c>
      <c r="L28" s="157" t="str">
        <f>_xlfn.CONCAT(TEXT($C28,"#.000#"),"""","  to  ",TEXT($D28,"#.000#"),"""")</f>
        <v>.282"  to  .4069"</v>
      </c>
      <c r="M28" s="294">
        <f>INDEX($M$55:$P$63,MATCH($J28,$J$55:$J$63,0),MATCH(M$19,$M$41:$P$41,0))</f>
        <v>120</v>
      </c>
      <c r="N28" s="294">
        <f>INDEX($M$55:$P$63,MATCH($J28,$J$55:$J$63,0),MATCH(N$19,$M$41:$P$41,0))</f>
        <v>145</v>
      </c>
      <c r="O28" s="294">
        <f>INDEX($M$55:$P$63,MATCH($J28,$J$55:$J$63,0),MATCH(O$19,$M$41:$P$41,0))</f>
        <v>185</v>
      </c>
      <c r="P28" s="295">
        <f>INDEX($M$55:$P$63,MATCH($J28,$J$55:$J$63,0),MATCH(P$19,$M$41:$P$41,0))</f>
        <v>225</v>
      </c>
    </row>
    <row r="29" spans="3:16" x14ac:dyDescent="0.25">
      <c r="C29" s="465"/>
      <c r="D29" s="465"/>
      <c r="F29" s="504"/>
      <c r="G29" s="503"/>
      <c r="J29" s="11"/>
      <c r="L29" s="286" t="str">
        <f>_xlfn.CONCAT(TEXT($F28,"#.000"),"mm","  to  ",TEXT($G28,"#.000"),"mm")</f>
        <v>7.161mm  to  10.335mm</v>
      </c>
      <c r="M29" s="287"/>
      <c r="N29" s="287"/>
      <c r="O29" s="287"/>
      <c r="P29" s="288"/>
    </row>
    <row r="30" spans="3:16" x14ac:dyDescent="0.25">
      <c r="C30" s="465">
        <v>0.40699999999999997</v>
      </c>
      <c r="D30" s="699">
        <f>C32-$D$16</f>
        <v>0.51090000000000002</v>
      </c>
      <c r="F30" s="504">
        <f>G28+$F$16</f>
        <v>10.336259999999999</v>
      </c>
      <c r="G30" s="504">
        <f>PRODUCT(D30,$F$15)</f>
        <v>12.97686</v>
      </c>
      <c r="J30" s="11">
        <v>6</v>
      </c>
      <c r="L30" s="166" t="str">
        <f>_xlfn.CONCAT(TEXT($C30,"#.000#"),"""","  to  ",TEXT($D30,"#.000#"),"""")</f>
        <v>.407"  to  .5109"</v>
      </c>
      <c r="M30" s="289">
        <f>INDEX($M$55:$P$63,MATCH($J30,$J$55:$J$63,0),MATCH(M$19,$M$41:$P$41,0))</f>
        <v>130</v>
      </c>
      <c r="N30" s="289">
        <f>INDEX($M$55:$P$63,MATCH($J30,$J$55:$J$63,0),MATCH(N$19,$M$41:$P$41,0))</f>
        <v>165</v>
      </c>
      <c r="O30" s="289">
        <f>INDEX($M$55:$P$63,MATCH($J30,$J$55:$J$63,0),MATCH(O$19,$M$41:$P$41,0))</f>
        <v>195</v>
      </c>
      <c r="P30" s="290">
        <f>INDEX($M$55:$P$63,MATCH($J30,$J$55:$J$63,0),MATCH(P$19,$M$41:$P$41,0))</f>
        <v>245</v>
      </c>
    </row>
    <row r="31" spans="3:16" x14ac:dyDescent="0.25">
      <c r="C31" s="465"/>
      <c r="D31" s="465"/>
      <c r="F31" s="504"/>
      <c r="G31" s="503"/>
      <c r="J31" s="11"/>
      <c r="L31" s="291" t="str">
        <f>_xlfn.CONCAT(TEXT($F30,"#.000"),"mm","  to  ",TEXT($G30,"#.000"),"mm")</f>
        <v>10.336mm  to  12.977mm</v>
      </c>
      <c r="M31" s="292"/>
      <c r="N31" s="292"/>
      <c r="O31" s="292"/>
      <c r="P31" s="293"/>
    </row>
    <row r="32" spans="3:16" x14ac:dyDescent="0.25">
      <c r="C32" s="465">
        <v>0.51100000000000001</v>
      </c>
      <c r="D32" s="699">
        <f>C34-$D$16</f>
        <v>0.63590000000000002</v>
      </c>
      <c r="F32" s="504">
        <f>G30+$F$16</f>
        <v>12.97786</v>
      </c>
      <c r="G32" s="504">
        <f>PRODUCT(D32,$F$15)</f>
        <v>16.151859999999999</v>
      </c>
      <c r="J32" s="11">
        <v>7</v>
      </c>
      <c r="L32" s="157" t="str">
        <f>_xlfn.CONCAT(TEXT($C32,"#.000#"),"""","  to  ",TEXT($D32,"#.000#"),"""")</f>
        <v>.511"  to  .6359"</v>
      </c>
      <c r="M32" s="294">
        <f>INDEX($M$55:$P$63,MATCH($J32,$J$55:$J$63,0),MATCH(M$19,$M$41:$P$41,0))</f>
        <v>150</v>
      </c>
      <c r="N32" s="294">
        <f>INDEX($M$55:$P$63,MATCH($J32,$J$55:$J$63,0),MATCH(N$19,$M$41:$P$41,0))</f>
        <v>185</v>
      </c>
      <c r="O32" s="294">
        <f>INDEX($M$55:$P$63,MATCH($J32,$J$55:$J$63,0),MATCH(O$19,$M$41:$P$41,0))</f>
        <v>235</v>
      </c>
      <c r="P32" s="295">
        <f>INDEX($M$55:$P$63,MATCH($J32,$J$55:$J$63,0),MATCH(P$19,$M$41:$P$41,0))</f>
        <v>255</v>
      </c>
    </row>
    <row r="33" spans="3:21" x14ac:dyDescent="0.25">
      <c r="C33" s="465"/>
      <c r="D33" s="465"/>
      <c r="F33" s="504"/>
      <c r="G33" s="503"/>
      <c r="J33" s="11"/>
      <c r="L33" s="286" t="str">
        <f>_xlfn.CONCAT(TEXT($F32,"#.000"),"mm","  to  ",TEXT($G32,"#.000"),"mm")</f>
        <v>12.978mm  to  16.152mm</v>
      </c>
      <c r="M33" s="287"/>
      <c r="N33" s="287"/>
      <c r="O33" s="287"/>
      <c r="P33" s="288"/>
    </row>
    <row r="34" spans="3:21" x14ac:dyDescent="0.25">
      <c r="C34" s="465">
        <v>0.63600000000000001</v>
      </c>
      <c r="D34" s="699">
        <f>C36-$D$16</f>
        <v>0.76090000000000002</v>
      </c>
      <c r="F34" s="504">
        <f>G32+$F$16</f>
        <v>16.15286</v>
      </c>
      <c r="G34" s="504">
        <f>PRODUCT(D34,$F$15)</f>
        <v>19.32686</v>
      </c>
      <c r="J34" s="11">
        <v>8</v>
      </c>
      <c r="L34" s="166" t="str">
        <f>_xlfn.CONCAT(TEXT($C34,"#.000#"),"""","  to  ",TEXT($D34,"#.000#"),"""")</f>
        <v>.636"  to  .7609"</v>
      </c>
      <c r="M34" s="289">
        <f>INDEX($M$55:$P$63,MATCH($J34,$J$55:$J$63,0),MATCH(M$19,$M$41:$P$41,0))</f>
        <v>160</v>
      </c>
      <c r="N34" s="289">
        <f>INDEX($M$55:$P$63,MATCH($J34,$J$55:$J$63,0),MATCH(N$19,$M$41:$P$41,0))</f>
        <v>190</v>
      </c>
      <c r="O34" s="289">
        <f>INDEX($M$55:$P$63,MATCH($J34,$J$55:$J$63,0),MATCH(O$19,$M$41:$P$41,0))</f>
        <v>250</v>
      </c>
      <c r="P34" s="290">
        <f>INDEX($M$55:$P$63,MATCH($J34,$J$55:$J$63,0),MATCH(P$19,$M$41:$P$41,0))</f>
        <v>275</v>
      </c>
    </row>
    <row r="35" spans="3:21" x14ac:dyDescent="0.25">
      <c r="C35" s="465"/>
      <c r="D35" s="465"/>
      <c r="F35" s="504"/>
      <c r="G35" s="503"/>
      <c r="J35" s="11"/>
      <c r="L35" s="291" t="str">
        <f>_xlfn.CONCAT(TEXT($F34,"#.000"),"mm","  to  ",TEXT($G34,"#.000"),"mm")</f>
        <v>16.153mm  to  19.327mm</v>
      </c>
      <c r="M35" s="292"/>
      <c r="N35" s="292"/>
      <c r="O35" s="292"/>
      <c r="P35" s="293"/>
    </row>
    <row r="36" spans="3:21" x14ac:dyDescent="0.25">
      <c r="C36" s="465">
        <v>0.76100000000000001</v>
      </c>
      <c r="D36" s="465">
        <v>1.01</v>
      </c>
      <c r="F36" s="504">
        <f>G34+$F$16</f>
        <v>19.327860000000001</v>
      </c>
      <c r="G36" s="505">
        <v>25.654</v>
      </c>
      <c r="J36" s="11">
        <v>9</v>
      </c>
      <c r="L36" s="157" t="str">
        <f>_xlfn.CONCAT(TEXT($C36,"#.000#"),"""","  to  ",TEXT($D36,"#.000#"),"""")</f>
        <v>.761"  to  1.010"</v>
      </c>
      <c r="M36" s="294">
        <f>INDEX($M$55:$P$63,MATCH($J36,$J$55:$J$63,0),MATCH(M$19,$M$41:$P$41,0))</f>
        <v>185</v>
      </c>
      <c r="N36" s="294">
        <f>INDEX($M$55:$P$63,MATCH($J36,$J$55:$J$63,0),MATCH(N$19,$M$41:$P$41,0))</f>
        <v>235</v>
      </c>
      <c r="O36" s="294">
        <f>INDEX($M$55:$P$63,MATCH($J36,$J$55:$J$63,0),MATCH(O$19,$M$41:$P$41,0))</f>
        <v>290</v>
      </c>
      <c r="P36" s="295">
        <f>INDEX($M$55:$P$63,MATCH($J36,$J$55:$J$63,0),MATCH(P$19,$M$41:$P$41,0))</f>
        <v>340</v>
      </c>
    </row>
    <row r="37" spans="3:21" ht="15.75" thickBot="1" x14ac:dyDescent="0.3">
      <c r="F37" s="38"/>
      <c r="G37" s="38"/>
      <c r="J37" s="11"/>
      <c r="L37" s="296" t="str">
        <f>_xlfn.CONCAT(TEXT($F36,"#.000"),"mm","  to  ",TEXT($G36,"#.000"),"mm")</f>
        <v>19.328mm  to  25.654mm</v>
      </c>
      <c r="M37" s="297"/>
      <c r="N37" s="297"/>
      <c r="O37" s="297"/>
      <c r="P37" s="298"/>
    </row>
    <row r="40" spans="3:21" collapsed="1" x14ac:dyDescent="0.25"/>
    <row r="41" spans="3:21" hidden="1" outlineLevel="2" x14ac:dyDescent="0.25">
      <c r="M41" s="600">
        <v>3</v>
      </c>
      <c r="N41" s="600">
        <v>4</v>
      </c>
      <c r="O41" s="600">
        <v>5</v>
      </c>
      <c r="P41" s="600">
        <v>6</v>
      </c>
      <c r="R41" s="600">
        <v>3</v>
      </c>
      <c r="S41" s="600">
        <v>4</v>
      </c>
      <c r="T41" s="600">
        <v>5</v>
      </c>
      <c r="U41" s="600">
        <v>6</v>
      </c>
    </row>
    <row r="42" spans="3:21" hidden="1" outlineLevel="2" x14ac:dyDescent="0.25">
      <c r="M42" s="601"/>
      <c r="N42" s="601"/>
      <c r="O42" s="601"/>
      <c r="P42" s="601"/>
    </row>
    <row r="43" spans="3:21" hidden="1" outlineLevel="2" x14ac:dyDescent="0.25">
      <c r="L43" s="18" t="s">
        <v>769</v>
      </c>
      <c r="M43" s="601"/>
      <c r="N43" s="601"/>
      <c r="O43" s="601"/>
      <c r="P43" s="601"/>
    </row>
    <row r="44" spans="3:21" hidden="1" outlineLevel="2" x14ac:dyDescent="0.25">
      <c r="J44" s="601">
        <v>1</v>
      </c>
      <c r="M44" s="386">
        <v>165</v>
      </c>
      <c r="N44" s="386">
        <v>225</v>
      </c>
      <c r="O44" s="386">
        <v>475</v>
      </c>
      <c r="P44" s="386">
        <v>550</v>
      </c>
      <c r="R44" s="701">
        <f t="shared" ref="R44:R52" si="0">((M55-M44)/M44)</f>
        <v>0.21212121212121213</v>
      </c>
      <c r="S44" s="701">
        <f t="shared" ref="S44:S52" si="1">((N55-N44)/N44)</f>
        <v>0.17777777777777778</v>
      </c>
      <c r="T44" s="701">
        <f t="shared" ref="T44:T52" si="2">((O55-O44)/O44)</f>
        <v>0</v>
      </c>
      <c r="U44" s="701">
        <f t="shared" ref="U44:U52" si="3">((P55-P44)/P44)</f>
        <v>4.5454545454545456E-2</v>
      </c>
    </row>
    <row r="45" spans="3:21" hidden="1" outlineLevel="2" x14ac:dyDescent="0.25">
      <c r="J45" s="601">
        <v>2</v>
      </c>
      <c r="M45" s="386">
        <v>100</v>
      </c>
      <c r="N45" s="386">
        <v>125</v>
      </c>
      <c r="O45" s="386">
        <v>200</v>
      </c>
      <c r="P45" s="386">
        <v>385</v>
      </c>
      <c r="R45" s="701">
        <f t="shared" si="0"/>
        <v>0.55000000000000004</v>
      </c>
      <c r="S45" s="701">
        <f t="shared" si="1"/>
        <v>0.56000000000000005</v>
      </c>
      <c r="T45" s="701">
        <f t="shared" si="2"/>
        <v>0.7</v>
      </c>
      <c r="U45" s="701">
        <f t="shared" si="3"/>
        <v>0.23376623376623376</v>
      </c>
    </row>
    <row r="46" spans="3:21" hidden="1" outlineLevel="2" x14ac:dyDescent="0.25">
      <c r="J46" s="601">
        <v>3</v>
      </c>
      <c r="M46" s="386">
        <v>100</v>
      </c>
      <c r="N46" s="386">
        <v>125</v>
      </c>
      <c r="O46" s="386">
        <v>165</v>
      </c>
      <c r="P46" s="386">
        <v>195</v>
      </c>
      <c r="R46" s="701">
        <f t="shared" si="0"/>
        <v>0.15</v>
      </c>
      <c r="S46" s="701">
        <f t="shared" si="1"/>
        <v>0.12</v>
      </c>
      <c r="T46" s="701">
        <f t="shared" si="2"/>
        <v>0.15151515151515152</v>
      </c>
      <c r="U46" s="701">
        <f t="shared" si="3"/>
        <v>0.33333333333333331</v>
      </c>
    </row>
    <row r="47" spans="3:21" hidden="1" outlineLevel="2" x14ac:dyDescent="0.25">
      <c r="J47" s="601">
        <v>4</v>
      </c>
      <c r="M47" s="386">
        <v>100</v>
      </c>
      <c r="N47" s="386">
        <v>125</v>
      </c>
      <c r="O47" s="386">
        <v>165</v>
      </c>
      <c r="P47" s="386">
        <v>195</v>
      </c>
      <c r="R47" s="701">
        <f t="shared" si="0"/>
        <v>0.05</v>
      </c>
      <c r="S47" s="701">
        <f t="shared" si="1"/>
        <v>0.04</v>
      </c>
      <c r="T47" s="701">
        <f t="shared" si="2"/>
        <v>3.0303030303030304E-2</v>
      </c>
      <c r="U47" s="701">
        <f t="shared" si="3"/>
        <v>7.6923076923076927E-2</v>
      </c>
    </row>
    <row r="48" spans="3:21" hidden="1" outlineLevel="2" x14ac:dyDescent="0.25">
      <c r="J48" s="601">
        <v>5</v>
      </c>
      <c r="M48" s="386">
        <v>100</v>
      </c>
      <c r="N48" s="386">
        <v>125</v>
      </c>
      <c r="O48" s="386">
        <v>165</v>
      </c>
      <c r="P48" s="386">
        <v>195</v>
      </c>
      <c r="R48" s="701">
        <f t="shared" si="0"/>
        <v>0.2</v>
      </c>
      <c r="S48" s="701">
        <f t="shared" si="1"/>
        <v>0.16</v>
      </c>
      <c r="T48" s="701">
        <f t="shared" si="2"/>
        <v>0.12121212121212122</v>
      </c>
      <c r="U48" s="701">
        <f t="shared" si="3"/>
        <v>0.15384615384615385</v>
      </c>
    </row>
    <row r="49" spans="7:21" hidden="1" outlineLevel="2" x14ac:dyDescent="0.25">
      <c r="J49" s="601">
        <v>6</v>
      </c>
      <c r="M49" s="386">
        <v>110</v>
      </c>
      <c r="N49" s="386">
        <v>135</v>
      </c>
      <c r="O49" s="386">
        <v>180</v>
      </c>
      <c r="P49" s="386">
        <v>210</v>
      </c>
      <c r="R49" s="701">
        <f t="shared" si="0"/>
        <v>0.18181818181818182</v>
      </c>
      <c r="S49" s="701">
        <f t="shared" si="1"/>
        <v>0.22222222222222221</v>
      </c>
      <c r="T49" s="701">
        <f t="shared" si="2"/>
        <v>8.3333333333333329E-2</v>
      </c>
      <c r="U49" s="701">
        <f t="shared" si="3"/>
        <v>0.16666666666666666</v>
      </c>
    </row>
    <row r="50" spans="7:21" hidden="1" outlineLevel="2" x14ac:dyDescent="0.25">
      <c r="J50" s="601">
        <v>7</v>
      </c>
      <c r="M50" s="386">
        <v>110</v>
      </c>
      <c r="N50" s="386">
        <v>135</v>
      </c>
      <c r="O50" s="386">
        <v>185</v>
      </c>
      <c r="P50" s="386">
        <v>225</v>
      </c>
      <c r="R50" s="701">
        <f t="shared" si="0"/>
        <v>0.36363636363636365</v>
      </c>
      <c r="S50" s="701">
        <f t="shared" si="1"/>
        <v>0.37037037037037035</v>
      </c>
      <c r="T50" s="701">
        <f t="shared" si="2"/>
        <v>0.27027027027027029</v>
      </c>
      <c r="U50" s="701">
        <f t="shared" si="3"/>
        <v>0.13333333333333333</v>
      </c>
    </row>
    <row r="51" spans="7:21" hidden="1" outlineLevel="2" x14ac:dyDescent="0.25">
      <c r="J51" s="601">
        <v>8</v>
      </c>
      <c r="M51" s="386">
        <v>110</v>
      </c>
      <c r="N51" s="386">
        <v>135</v>
      </c>
      <c r="O51" s="386">
        <v>185</v>
      </c>
      <c r="P51" s="386">
        <v>225</v>
      </c>
      <c r="R51" s="701">
        <f t="shared" si="0"/>
        <v>0.45454545454545453</v>
      </c>
      <c r="S51" s="701">
        <f t="shared" si="1"/>
        <v>0.40740740740740738</v>
      </c>
      <c r="T51" s="701">
        <f t="shared" si="2"/>
        <v>0.35135135135135137</v>
      </c>
      <c r="U51" s="701">
        <f t="shared" si="3"/>
        <v>0.22222222222222221</v>
      </c>
    </row>
    <row r="52" spans="7:21" hidden="1" outlineLevel="2" x14ac:dyDescent="0.25">
      <c r="J52" s="601">
        <v>9</v>
      </c>
      <c r="M52" s="386">
        <v>150</v>
      </c>
      <c r="N52" s="386">
        <v>175</v>
      </c>
      <c r="O52" s="386">
        <v>250</v>
      </c>
      <c r="P52" s="386">
        <v>325</v>
      </c>
      <c r="R52" s="701">
        <f t="shared" si="0"/>
        <v>0.23333333333333334</v>
      </c>
      <c r="S52" s="701">
        <f t="shared" si="1"/>
        <v>0.34285714285714286</v>
      </c>
      <c r="T52" s="701">
        <f t="shared" si="2"/>
        <v>0.16</v>
      </c>
      <c r="U52" s="701">
        <f t="shared" si="3"/>
        <v>4.6153846153846156E-2</v>
      </c>
    </row>
    <row r="53" spans="7:21" hidden="1" outlineLevel="2" x14ac:dyDescent="0.25">
      <c r="J53" s="601"/>
      <c r="M53" s="386"/>
      <c r="N53" s="386"/>
      <c r="O53" s="386"/>
      <c r="P53" s="386"/>
    </row>
    <row r="54" spans="7:21" hidden="1" outlineLevel="2" x14ac:dyDescent="0.25">
      <c r="L54" s="18" t="s">
        <v>776</v>
      </c>
    </row>
    <row r="55" spans="7:21" hidden="1" outlineLevel="2" x14ac:dyDescent="0.25">
      <c r="G55" s="685"/>
      <c r="J55" s="601">
        <v>1</v>
      </c>
      <c r="M55" s="686">
        <f t="shared" ref="M55:P63" si="4">MROUND(PRODUCT(M66,(1+INDEX($R$66:$U$74,MATCH($J55,$J$66:$J$74,0),MATCH(M$41,$R$41:$U$41,0)))),5)</f>
        <v>200</v>
      </c>
      <c r="N55" s="686">
        <f t="shared" si="4"/>
        <v>265</v>
      </c>
      <c r="O55" s="686">
        <f t="shared" si="4"/>
        <v>475</v>
      </c>
      <c r="P55" s="686">
        <f t="shared" si="4"/>
        <v>575</v>
      </c>
    </row>
    <row r="56" spans="7:21" hidden="1" outlineLevel="2" x14ac:dyDescent="0.25">
      <c r="G56" s="685"/>
      <c r="J56" s="601">
        <v>2</v>
      </c>
      <c r="M56" s="686">
        <f t="shared" si="4"/>
        <v>155</v>
      </c>
      <c r="N56" s="686">
        <f t="shared" si="4"/>
        <v>195</v>
      </c>
      <c r="O56" s="686">
        <f t="shared" si="4"/>
        <v>340</v>
      </c>
      <c r="P56" s="686">
        <f t="shared" si="4"/>
        <v>475</v>
      </c>
    </row>
    <row r="57" spans="7:21" hidden="1" outlineLevel="2" x14ac:dyDescent="0.25">
      <c r="G57" s="685"/>
      <c r="J57" s="601">
        <v>3</v>
      </c>
      <c r="M57" s="686">
        <f t="shared" si="4"/>
        <v>115</v>
      </c>
      <c r="N57" s="686">
        <f t="shared" si="4"/>
        <v>140</v>
      </c>
      <c r="O57" s="686">
        <f t="shared" si="4"/>
        <v>190</v>
      </c>
      <c r="P57" s="686">
        <f t="shared" si="4"/>
        <v>260</v>
      </c>
    </row>
    <row r="58" spans="7:21" hidden="1" outlineLevel="2" x14ac:dyDescent="0.25">
      <c r="G58" s="685"/>
      <c r="J58" s="601">
        <v>4</v>
      </c>
      <c r="M58" s="686">
        <f t="shared" si="4"/>
        <v>105</v>
      </c>
      <c r="N58" s="686">
        <f t="shared" si="4"/>
        <v>130</v>
      </c>
      <c r="O58" s="686">
        <f t="shared" si="4"/>
        <v>170</v>
      </c>
      <c r="P58" s="686">
        <f t="shared" si="4"/>
        <v>210</v>
      </c>
    </row>
    <row r="59" spans="7:21" hidden="1" outlineLevel="2" x14ac:dyDescent="0.25">
      <c r="G59" s="685"/>
      <c r="J59" s="601">
        <v>5</v>
      </c>
      <c r="M59" s="686">
        <f t="shared" si="4"/>
        <v>120</v>
      </c>
      <c r="N59" s="686">
        <f t="shared" si="4"/>
        <v>145</v>
      </c>
      <c r="O59" s="686">
        <f t="shared" si="4"/>
        <v>185</v>
      </c>
      <c r="P59" s="686">
        <f t="shared" si="4"/>
        <v>225</v>
      </c>
    </row>
    <row r="60" spans="7:21" hidden="1" outlineLevel="2" x14ac:dyDescent="0.25">
      <c r="G60" s="685"/>
      <c r="J60" s="601">
        <v>6</v>
      </c>
      <c r="M60" s="686">
        <f t="shared" si="4"/>
        <v>130</v>
      </c>
      <c r="N60" s="686">
        <f t="shared" si="4"/>
        <v>165</v>
      </c>
      <c r="O60" s="686">
        <f t="shared" si="4"/>
        <v>195</v>
      </c>
      <c r="P60" s="686">
        <f t="shared" si="4"/>
        <v>245</v>
      </c>
    </row>
    <row r="61" spans="7:21" hidden="1" outlineLevel="2" x14ac:dyDescent="0.25">
      <c r="G61" s="685"/>
      <c r="J61" s="601">
        <v>7</v>
      </c>
      <c r="M61" s="686">
        <f t="shared" si="4"/>
        <v>150</v>
      </c>
      <c r="N61" s="686">
        <f t="shared" si="4"/>
        <v>185</v>
      </c>
      <c r="O61" s="686">
        <f t="shared" si="4"/>
        <v>235</v>
      </c>
      <c r="P61" s="686">
        <f t="shared" si="4"/>
        <v>255</v>
      </c>
    </row>
    <row r="62" spans="7:21" hidden="1" outlineLevel="2" x14ac:dyDescent="0.25">
      <c r="G62" s="685"/>
      <c r="J62" s="601">
        <v>8</v>
      </c>
      <c r="M62" s="686">
        <f t="shared" si="4"/>
        <v>160</v>
      </c>
      <c r="N62" s="686">
        <f t="shared" si="4"/>
        <v>190</v>
      </c>
      <c r="O62" s="686">
        <f t="shared" si="4"/>
        <v>250</v>
      </c>
      <c r="P62" s="686">
        <f t="shared" si="4"/>
        <v>275</v>
      </c>
    </row>
    <row r="63" spans="7:21" ht="13.5" hidden="1" customHeight="1" outlineLevel="2" x14ac:dyDescent="0.25">
      <c r="G63" s="685"/>
      <c r="J63" s="601">
        <v>9</v>
      </c>
      <c r="M63" s="686">
        <f t="shared" si="4"/>
        <v>185</v>
      </c>
      <c r="N63" s="686">
        <f t="shared" si="4"/>
        <v>235</v>
      </c>
      <c r="O63" s="686">
        <f t="shared" si="4"/>
        <v>290</v>
      </c>
      <c r="P63" s="686">
        <f t="shared" si="4"/>
        <v>340</v>
      </c>
    </row>
    <row r="64" spans="7:21" hidden="1" outlineLevel="2" x14ac:dyDescent="0.25"/>
    <row r="65" spans="10:21" hidden="1" outlineLevel="2" x14ac:dyDescent="0.25">
      <c r="L65" s="18" t="s">
        <v>768</v>
      </c>
    </row>
    <row r="66" spans="10:21" hidden="1" outlineLevel="2" x14ac:dyDescent="0.25">
      <c r="J66" s="19">
        <v>1</v>
      </c>
      <c r="M66" s="386">
        <v>165</v>
      </c>
      <c r="N66" s="386">
        <v>225</v>
      </c>
      <c r="O66" s="386">
        <v>350</v>
      </c>
      <c r="P66" s="386">
        <v>425</v>
      </c>
      <c r="R66" s="685">
        <v>0.2</v>
      </c>
      <c r="S66" s="685">
        <v>0.18</v>
      </c>
      <c r="T66" s="685">
        <v>0.35</v>
      </c>
      <c r="U66" s="685">
        <v>0.35</v>
      </c>
    </row>
    <row r="67" spans="10:21" hidden="1" outlineLevel="1" x14ac:dyDescent="0.25">
      <c r="J67" s="19">
        <v>2</v>
      </c>
      <c r="M67" s="386">
        <v>140</v>
      </c>
      <c r="N67" s="386">
        <v>175</v>
      </c>
      <c r="O67" s="386">
        <v>250</v>
      </c>
      <c r="P67" s="386">
        <v>350</v>
      </c>
      <c r="R67" s="685">
        <v>0.1</v>
      </c>
      <c r="S67" s="685">
        <v>0.1</v>
      </c>
      <c r="T67" s="685">
        <v>0.35</v>
      </c>
      <c r="U67" s="685">
        <v>0.35</v>
      </c>
    </row>
    <row r="68" spans="10:21" hidden="1" outlineLevel="1" x14ac:dyDescent="0.25">
      <c r="J68" s="19">
        <v>3</v>
      </c>
      <c r="M68" s="386">
        <v>110</v>
      </c>
      <c r="N68" s="386">
        <v>135</v>
      </c>
      <c r="O68" s="386">
        <v>180</v>
      </c>
      <c r="P68" s="386">
        <v>235</v>
      </c>
      <c r="R68" s="685">
        <v>0.05</v>
      </c>
      <c r="S68" s="685">
        <v>0.05</v>
      </c>
      <c r="T68" s="685">
        <v>0.05</v>
      </c>
      <c r="U68" s="685">
        <v>0.1</v>
      </c>
    </row>
    <row r="69" spans="10:21" hidden="1" outlineLevel="1" x14ac:dyDescent="0.25">
      <c r="J69" s="19">
        <v>4</v>
      </c>
      <c r="M69" s="386">
        <v>100</v>
      </c>
      <c r="N69" s="386">
        <v>125</v>
      </c>
      <c r="O69" s="386">
        <v>160</v>
      </c>
      <c r="P69" s="386">
        <v>200</v>
      </c>
      <c r="R69" s="685">
        <v>0.05</v>
      </c>
      <c r="S69" s="685">
        <v>0.05</v>
      </c>
      <c r="T69" s="685">
        <v>0.05</v>
      </c>
      <c r="U69" s="685">
        <v>0.05</v>
      </c>
    </row>
    <row r="70" spans="10:21" hidden="1" outlineLevel="1" x14ac:dyDescent="0.25">
      <c r="J70" s="19">
        <v>5</v>
      </c>
      <c r="M70" s="386">
        <v>115</v>
      </c>
      <c r="N70" s="386">
        <v>140</v>
      </c>
      <c r="O70" s="386">
        <v>175</v>
      </c>
      <c r="P70" s="386">
        <v>215</v>
      </c>
      <c r="R70" s="685">
        <v>0.05</v>
      </c>
      <c r="S70" s="685">
        <v>0.05</v>
      </c>
      <c r="T70" s="685">
        <v>0.05</v>
      </c>
      <c r="U70" s="685">
        <v>0.05</v>
      </c>
    </row>
    <row r="71" spans="10:21" hidden="1" outlineLevel="1" x14ac:dyDescent="0.25">
      <c r="J71" s="19">
        <v>6</v>
      </c>
      <c r="M71" s="386">
        <v>125</v>
      </c>
      <c r="N71" s="386">
        <v>155</v>
      </c>
      <c r="O71" s="386">
        <v>185</v>
      </c>
      <c r="P71" s="386">
        <v>235</v>
      </c>
      <c r="R71" s="685">
        <v>0.05</v>
      </c>
      <c r="S71" s="685">
        <v>0.05</v>
      </c>
      <c r="T71" s="685">
        <v>0.05</v>
      </c>
      <c r="U71" s="685">
        <v>0.05</v>
      </c>
    </row>
    <row r="72" spans="10:21" hidden="1" outlineLevel="1" x14ac:dyDescent="0.25">
      <c r="J72" s="19">
        <v>7</v>
      </c>
      <c r="M72" s="386">
        <v>145</v>
      </c>
      <c r="N72" s="386">
        <v>175</v>
      </c>
      <c r="O72" s="386">
        <v>225</v>
      </c>
      <c r="P72" s="386">
        <v>245</v>
      </c>
      <c r="R72" s="685">
        <v>0.05</v>
      </c>
      <c r="S72" s="685">
        <v>0.05</v>
      </c>
      <c r="T72" s="685">
        <v>0.05</v>
      </c>
      <c r="U72" s="685">
        <v>0.05</v>
      </c>
    </row>
    <row r="73" spans="10:21" hidden="1" outlineLevel="1" x14ac:dyDescent="0.25">
      <c r="J73" s="19">
        <v>8</v>
      </c>
      <c r="M73" s="386">
        <v>160</v>
      </c>
      <c r="N73" s="386">
        <v>190</v>
      </c>
      <c r="O73" s="386">
        <v>250</v>
      </c>
      <c r="P73" s="386">
        <v>275</v>
      </c>
      <c r="R73" s="685">
        <v>0</v>
      </c>
      <c r="S73" s="685">
        <v>0</v>
      </c>
      <c r="T73" s="685">
        <v>0</v>
      </c>
      <c r="U73" s="685">
        <v>0</v>
      </c>
    </row>
    <row r="74" spans="10:21" hidden="1" outlineLevel="1" x14ac:dyDescent="0.25">
      <c r="J74" s="19">
        <v>9</v>
      </c>
      <c r="M74" s="386">
        <v>175</v>
      </c>
      <c r="N74" s="386">
        <v>225</v>
      </c>
      <c r="O74" s="386">
        <v>275</v>
      </c>
      <c r="P74" s="386">
        <v>325</v>
      </c>
      <c r="R74" s="685">
        <v>0.05</v>
      </c>
      <c r="S74" s="685">
        <v>0.05</v>
      </c>
      <c r="T74" s="685">
        <v>0.05</v>
      </c>
      <c r="U74" s="685">
        <v>0.05</v>
      </c>
    </row>
    <row r="75" spans="10:21" hidden="1" outlineLevel="1" x14ac:dyDescent="0.25">
      <c r="J75" s="19"/>
      <c r="M75" s="386"/>
      <c r="N75" s="386"/>
      <c r="O75" s="386"/>
      <c r="P75" s="386"/>
    </row>
    <row r="76" spans="10:21" hidden="1" outlineLevel="1" x14ac:dyDescent="0.25">
      <c r="L76" s="18" t="s">
        <v>770</v>
      </c>
      <c r="M76" s="386"/>
      <c r="N76" s="386"/>
      <c r="O76" s="386"/>
      <c r="P76" s="386"/>
    </row>
    <row r="77" spans="10:21" hidden="1" outlineLevel="1" x14ac:dyDescent="0.25">
      <c r="J77" s="601">
        <v>1</v>
      </c>
      <c r="M77" s="386">
        <v>135</v>
      </c>
      <c r="N77" s="386">
        <v>183</v>
      </c>
      <c r="O77" s="386">
        <v>0</v>
      </c>
      <c r="P77" s="386">
        <v>0</v>
      </c>
    </row>
    <row r="78" spans="10:21" hidden="1" outlineLevel="1" x14ac:dyDescent="0.25">
      <c r="J78" s="601">
        <v>2</v>
      </c>
      <c r="M78" s="386">
        <v>77</v>
      </c>
      <c r="N78" s="386">
        <v>101</v>
      </c>
      <c r="O78" s="386">
        <v>185</v>
      </c>
      <c r="P78" s="386">
        <v>247</v>
      </c>
    </row>
    <row r="79" spans="10:21" hidden="1" outlineLevel="1" x14ac:dyDescent="0.25">
      <c r="J79" s="601">
        <v>3</v>
      </c>
      <c r="M79" s="386">
        <v>77</v>
      </c>
      <c r="N79" s="386">
        <v>101</v>
      </c>
      <c r="O79" s="386">
        <v>124</v>
      </c>
      <c r="P79" s="386">
        <v>142</v>
      </c>
      <c r="Q79" s="672"/>
      <c r="R79" s="672"/>
      <c r="S79" s="672"/>
    </row>
    <row r="80" spans="10:21" hidden="1" outlineLevel="1" x14ac:dyDescent="0.25">
      <c r="J80" s="601">
        <v>4</v>
      </c>
      <c r="M80" s="386">
        <v>77</v>
      </c>
      <c r="N80" s="386">
        <v>101</v>
      </c>
      <c r="O80" s="386">
        <v>124</v>
      </c>
      <c r="P80" s="386">
        <v>142</v>
      </c>
      <c r="Q80" s="672"/>
      <c r="R80" s="672"/>
      <c r="S80" s="672"/>
    </row>
    <row r="81" spans="10:19" hidden="1" outlineLevel="1" x14ac:dyDescent="0.25">
      <c r="J81" s="601">
        <v>5</v>
      </c>
      <c r="M81" s="386">
        <v>77</v>
      </c>
      <c r="N81" s="386">
        <v>101</v>
      </c>
      <c r="O81" s="386">
        <v>124</v>
      </c>
      <c r="P81" s="386">
        <v>144</v>
      </c>
      <c r="Q81" s="672"/>
      <c r="R81" s="672"/>
      <c r="S81" s="672"/>
    </row>
    <row r="82" spans="10:19" hidden="1" outlineLevel="1" x14ac:dyDescent="0.25">
      <c r="J82" s="601">
        <v>6</v>
      </c>
      <c r="M82" s="386">
        <v>77</v>
      </c>
      <c r="N82" s="386">
        <v>108</v>
      </c>
      <c r="O82" s="386">
        <v>130</v>
      </c>
      <c r="P82" s="386">
        <v>130</v>
      </c>
      <c r="Q82" s="672"/>
      <c r="R82" s="672"/>
      <c r="S82" s="672"/>
    </row>
    <row r="83" spans="10:19" hidden="1" outlineLevel="1" x14ac:dyDescent="0.25">
      <c r="J83" s="601">
        <v>7</v>
      </c>
      <c r="M83" s="386">
        <v>77</v>
      </c>
      <c r="N83" s="386">
        <v>108</v>
      </c>
      <c r="O83" s="386">
        <v>135</v>
      </c>
      <c r="P83" s="386">
        <v>135</v>
      </c>
      <c r="Q83" s="672"/>
      <c r="R83" s="672"/>
      <c r="S83" s="672"/>
    </row>
    <row r="84" spans="10:19" hidden="1" outlineLevel="1" x14ac:dyDescent="0.25">
      <c r="J84" s="601">
        <v>8</v>
      </c>
      <c r="M84" s="386">
        <v>77</v>
      </c>
      <c r="N84" s="386">
        <v>112</v>
      </c>
      <c r="O84" s="386">
        <v>140</v>
      </c>
      <c r="P84" s="386">
        <v>140</v>
      </c>
      <c r="Q84" s="672"/>
      <c r="R84" s="672"/>
      <c r="S84" s="672"/>
    </row>
    <row r="85" spans="10:19" hidden="1" outlineLevel="1" x14ac:dyDescent="0.25">
      <c r="J85" s="601">
        <v>9</v>
      </c>
      <c r="M85" s="386">
        <v>126</v>
      </c>
      <c r="N85" s="386">
        <v>152</v>
      </c>
      <c r="O85" s="386">
        <v>220</v>
      </c>
      <c r="P85" s="386">
        <v>220</v>
      </c>
      <c r="Q85" s="672"/>
      <c r="R85" s="672"/>
      <c r="S85" s="672"/>
    </row>
    <row r="86" spans="10:19" hidden="1" outlineLevel="1" x14ac:dyDescent="0.25">
      <c r="M86" s="386"/>
      <c r="N86" s="386"/>
      <c r="O86" s="386"/>
      <c r="P86" s="386"/>
    </row>
    <row r="87" spans="10:19" hidden="1" outlineLevel="1" x14ac:dyDescent="0.25">
      <c r="M87" s="386"/>
      <c r="N87" s="386"/>
      <c r="O87" s="386"/>
      <c r="P87" s="386"/>
    </row>
    <row r="88" spans="10:19" hidden="1" outlineLevel="1" x14ac:dyDescent="0.25">
      <c r="M88" s="386"/>
      <c r="N88" s="386"/>
      <c r="O88" s="386"/>
      <c r="P88" s="386"/>
    </row>
    <row r="89" spans="10:19" x14ac:dyDescent="0.25">
      <c r="M89" s="386"/>
      <c r="N89" s="386"/>
      <c r="O89" s="386"/>
      <c r="P89" s="386"/>
    </row>
    <row r="90" spans="10:19" x14ac:dyDescent="0.25">
      <c r="M90" s="386"/>
      <c r="N90" s="386"/>
      <c r="O90" s="386"/>
      <c r="P90" s="386"/>
    </row>
    <row r="91" spans="10:19" x14ac:dyDescent="0.25">
      <c r="M91" s="386"/>
      <c r="N91" s="386"/>
      <c r="O91" s="386"/>
      <c r="P91" s="386"/>
    </row>
    <row r="92" spans="10:19" x14ac:dyDescent="0.25">
      <c r="M92" s="386"/>
      <c r="N92" s="386"/>
      <c r="O92" s="386"/>
      <c r="P92" s="386"/>
    </row>
    <row r="93" spans="10:19" x14ac:dyDescent="0.25">
      <c r="M93" s="386"/>
      <c r="N93" s="386"/>
      <c r="O93" s="386"/>
      <c r="P93" s="386"/>
    </row>
    <row r="94" spans="10:19" x14ac:dyDescent="0.25">
      <c r="M94" s="386"/>
      <c r="N94" s="386"/>
      <c r="O94" s="386"/>
      <c r="P94" s="386"/>
    </row>
    <row r="95" spans="10:19" x14ac:dyDescent="0.25">
      <c r="M95" s="386"/>
      <c r="N95" s="386"/>
      <c r="O95" s="386"/>
      <c r="P95" s="386"/>
    </row>
    <row r="96" spans="10:19" x14ac:dyDescent="0.25">
      <c r="M96" s="386"/>
      <c r="N96" s="386"/>
      <c r="O96" s="386"/>
      <c r="P96" s="386"/>
    </row>
    <row r="97" spans="13:16" x14ac:dyDescent="0.25">
      <c r="M97" s="386"/>
      <c r="N97" s="386"/>
      <c r="O97" s="386"/>
      <c r="P97" s="386"/>
    </row>
    <row r="98" spans="13:16" x14ac:dyDescent="0.25">
      <c r="M98" s="386"/>
      <c r="N98" s="386"/>
      <c r="O98" s="386"/>
      <c r="P98" s="386"/>
    </row>
    <row r="99" spans="13:16" x14ac:dyDescent="0.25">
      <c r="M99" s="386"/>
      <c r="N99" s="386"/>
      <c r="O99" s="386"/>
      <c r="P99" s="386"/>
    </row>
    <row r="100" spans="13:16" x14ac:dyDescent="0.25">
      <c r="M100" s="386"/>
      <c r="N100" s="386"/>
      <c r="O100" s="386"/>
      <c r="P100" s="386"/>
    </row>
    <row r="101" spans="13:16" x14ac:dyDescent="0.25">
      <c r="M101" s="386"/>
      <c r="N101" s="386"/>
      <c r="O101" s="386"/>
      <c r="P101" s="386"/>
    </row>
    <row r="102" spans="13:16" x14ac:dyDescent="0.25">
      <c r="M102" s="386"/>
      <c r="N102" s="386"/>
      <c r="O102" s="386"/>
      <c r="P102" s="386"/>
    </row>
    <row r="103" spans="13:16" x14ac:dyDescent="0.25">
      <c r="M103" s="386"/>
      <c r="N103" s="386"/>
      <c r="O103" s="386"/>
      <c r="P103" s="386"/>
    </row>
    <row r="104" spans="13:16" x14ac:dyDescent="0.25">
      <c r="M104" s="386"/>
      <c r="N104" s="386"/>
      <c r="O104" s="386"/>
      <c r="P104" s="386"/>
    </row>
    <row r="105" spans="13:16" x14ac:dyDescent="0.25">
      <c r="M105" s="386"/>
      <c r="N105" s="386"/>
      <c r="O105" s="386"/>
      <c r="P105" s="386"/>
    </row>
    <row r="106" spans="13:16" x14ac:dyDescent="0.25">
      <c r="M106" s="386"/>
      <c r="N106" s="386"/>
      <c r="O106" s="386"/>
      <c r="P106" s="386"/>
    </row>
    <row r="107" spans="13:16" x14ac:dyDescent="0.25">
      <c r="M107" s="386"/>
      <c r="N107" s="386"/>
      <c r="O107" s="386"/>
      <c r="P107" s="386"/>
    </row>
    <row r="108" spans="13:16" x14ac:dyDescent="0.25">
      <c r="M108" s="386"/>
      <c r="N108" s="386"/>
      <c r="O108" s="386"/>
      <c r="P108" s="386"/>
    </row>
    <row r="109" spans="13:16" x14ac:dyDescent="0.25">
      <c r="M109" s="386"/>
      <c r="N109" s="386"/>
      <c r="O109" s="386"/>
      <c r="P109" s="386"/>
    </row>
    <row r="110" spans="13:16" x14ac:dyDescent="0.25">
      <c r="M110" s="386"/>
      <c r="N110" s="386"/>
      <c r="O110" s="386"/>
      <c r="P110" s="386"/>
    </row>
    <row r="111" spans="13:16" x14ac:dyDescent="0.25">
      <c r="M111" s="386"/>
      <c r="N111" s="386"/>
      <c r="O111" s="386"/>
      <c r="P111" s="386"/>
    </row>
    <row r="112" spans="13:16" x14ac:dyDescent="0.25">
      <c r="M112" s="386"/>
      <c r="N112" s="386"/>
      <c r="O112" s="386"/>
      <c r="P112" s="386"/>
    </row>
    <row r="113" spans="13:16" x14ac:dyDescent="0.25">
      <c r="M113" s="386"/>
      <c r="N113" s="386"/>
      <c r="O113" s="386"/>
      <c r="P113" s="386"/>
    </row>
    <row r="114" spans="13:16" x14ac:dyDescent="0.25">
      <c r="M114" s="386"/>
      <c r="N114" s="386"/>
      <c r="O114" s="386"/>
      <c r="P114" s="386"/>
    </row>
    <row r="115" spans="13:16" x14ac:dyDescent="0.25">
      <c r="M115" s="386"/>
      <c r="N115" s="386"/>
      <c r="O115" s="386"/>
      <c r="P115" s="386"/>
    </row>
    <row r="116" spans="13:16" x14ac:dyDescent="0.25">
      <c r="M116" s="386"/>
      <c r="N116" s="386"/>
      <c r="O116" s="386"/>
      <c r="P116" s="386"/>
    </row>
    <row r="117" spans="13:16" x14ac:dyDescent="0.25">
      <c r="M117" s="386"/>
      <c r="N117" s="386"/>
      <c r="O117" s="386"/>
      <c r="P117" s="386"/>
    </row>
    <row r="118" spans="13:16" x14ac:dyDescent="0.25">
      <c r="M118" s="386"/>
      <c r="N118" s="386"/>
      <c r="O118" s="386"/>
      <c r="P118" s="386"/>
    </row>
    <row r="119" spans="13:16" x14ac:dyDescent="0.25">
      <c r="M119" s="386"/>
      <c r="N119" s="386"/>
      <c r="O119" s="386"/>
      <c r="P119" s="386"/>
    </row>
    <row r="120" spans="13:16" x14ac:dyDescent="0.25">
      <c r="M120" s="386"/>
      <c r="N120" s="386"/>
      <c r="O120" s="386"/>
      <c r="P120" s="386"/>
    </row>
    <row r="121" spans="13:16" x14ac:dyDescent="0.25">
      <c r="M121" s="386"/>
      <c r="N121" s="386"/>
      <c r="O121" s="386"/>
      <c r="P121" s="386"/>
    </row>
    <row r="122" spans="13:16" x14ac:dyDescent="0.25">
      <c r="M122" s="386"/>
      <c r="N122" s="386"/>
      <c r="O122" s="386"/>
      <c r="P122" s="386"/>
    </row>
    <row r="123" spans="13:16" x14ac:dyDescent="0.25">
      <c r="M123" s="386"/>
      <c r="N123" s="386"/>
      <c r="O123" s="386"/>
      <c r="P123" s="386"/>
    </row>
    <row r="124" spans="13:16" x14ac:dyDescent="0.25">
      <c r="M124" s="386"/>
      <c r="N124" s="386"/>
      <c r="O124" s="386"/>
      <c r="P124" s="386"/>
    </row>
    <row r="125" spans="13:16" x14ac:dyDescent="0.25">
      <c r="M125" s="386"/>
      <c r="N125" s="386"/>
      <c r="O125" s="386"/>
      <c r="P125" s="386"/>
    </row>
    <row r="126" spans="13:16" x14ac:dyDescent="0.25">
      <c r="M126" s="386"/>
      <c r="N126" s="386"/>
      <c r="O126" s="386"/>
      <c r="P126" s="386"/>
    </row>
    <row r="127" spans="13:16" x14ac:dyDescent="0.25">
      <c r="M127" s="386"/>
      <c r="N127" s="386"/>
      <c r="O127" s="386"/>
      <c r="P127" s="386"/>
    </row>
    <row r="128" spans="13:16" x14ac:dyDescent="0.25">
      <c r="M128" s="386"/>
      <c r="N128" s="386"/>
      <c r="O128" s="386"/>
      <c r="P128" s="386"/>
    </row>
    <row r="129" spans="13:16" x14ac:dyDescent="0.25">
      <c r="M129" s="386"/>
      <c r="N129" s="386"/>
      <c r="O129" s="386"/>
      <c r="P129" s="386"/>
    </row>
    <row r="130" spans="13:16" x14ac:dyDescent="0.25">
      <c r="M130" s="386"/>
      <c r="N130" s="386"/>
      <c r="O130" s="386"/>
      <c r="P130" s="386"/>
    </row>
    <row r="131" spans="13:16" x14ac:dyDescent="0.25">
      <c r="M131" s="386"/>
      <c r="N131" s="386"/>
      <c r="O131" s="386"/>
      <c r="P131" s="386"/>
    </row>
    <row r="132" spans="13:16" x14ac:dyDescent="0.25">
      <c r="M132" s="386"/>
      <c r="N132" s="386"/>
      <c r="O132" s="386"/>
      <c r="P132" s="386"/>
    </row>
    <row r="133" spans="13:16" x14ac:dyDescent="0.25">
      <c r="M133" s="386"/>
      <c r="N133" s="386"/>
      <c r="O133" s="386"/>
      <c r="P133" s="386"/>
    </row>
    <row r="134" spans="13:16" x14ac:dyDescent="0.25">
      <c r="M134" s="386"/>
      <c r="N134" s="386"/>
      <c r="O134" s="386"/>
      <c r="P134" s="386"/>
    </row>
    <row r="135" spans="13:16" x14ac:dyDescent="0.25">
      <c r="M135" s="386"/>
      <c r="N135" s="386"/>
      <c r="O135" s="386"/>
      <c r="P135" s="386"/>
    </row>
    <row r="136" spans="13:16" x14ac:dyDescent="0.25">
      <c r="M136" s="386"/>
      <c r="N136" s="386"/>
      <c r="O136" s="386"/>
      <c r="P136" s="386"/>
    </row>
    <row r="137" spans="13:16" x14ac:dyDescent="0.25">
      <c r="M137" s="386"/>
      <c r="N137" s="386"/>
      <c r="O137" s="386"/>
      <c r="P137" s="386"/>
    </row>
    <row r="138" spans="13:16" x14ac:dyDescent="0.25">
      <c r="M138" s="386"/>
      <c r="N138" s="386"/>
      <c r="O138" s="386"/>
      <c r="P138" s="386"/>
    </row>
    <row r="139" spans="13:16" x14ac:dyDescent="0.25">
      <c r="M139" s="386"/>
      <c r="N139" s="386"/>
      <c r="O139" s="386"/>
      <c r="P139" s="386"/>
    </row>
    <row r="140" spans="13:16" x14ac:dyDescent="0.25">
      <c r="M140" s="386"/>
      <c r="N140" s="386"/>
      <c r="O140" s="386"/>
      <c r="P140" s="386"/>
    </row>
    <row r="141" spans="13:16" x14ac:dyDescent="0.25">
      <c r="M141" s="386"/>
      <c r="N141" s="386"/>
      <c r="O141" s="386"/>
      <c r="P141" s="386"/>
    </row>
    <row r="142" spans="13:16" x14ac:dyDescent="0.25">
      <c r="M142" s="386"/>
      <c r="N142" s="386"/>
      <c r="O142" s="386"/>
      <c r="P142" s="386"/>
    </row>
    <row r="143" spans="13:16" x14ac:dyDescent="0.25">
      <c r="M143" s="386"/>
      <c r="N143" s="386"/>
      <c r="O143" s="386"/>
      <c r="P143" s="386"/>
    </row>
    <row r="144" spans="13:16" x14ac:dyDescent="0.25">
      <c r="M144" s="386"/>
      <c r="N144" s="386"/>
      <c r="O144" s="386"/>
      <c r="P144" s="386"/>
    </row>
    <row r="145" spans="13:16" x14ac:dyDescent="0.25">
      <c r="M145" s="386"/>
      <c r="N145" s="386"/>
      <c r="O145" s="386"/>
      <c r="P145" s="386"/>
    </row>
  </sheetData>
  <sheetProtection algorithmName="SHA-512" hashValue="79vOtU2piExj3yRAasJhT1ofgUgNaWfFdlFWeCB+TPq+VZS+yzKoAzcyAyo8JIO0NjLPlU3tuWcPnGXK1tPNmg==" saltValue="LxWubGaeIMUrtfZRk7FEUg==" spinCount="100000" sheet="1" objects="1" scenarios="1"/>
  <conditionalFormatting sqref="L9:L11">
    <cfRule type="expression" dxfId="18" priority="1">
      <formula>#REF!="y"</formula>
    </cfRule>
  </conditionalFormatting>
  <pageMargins left="0.7" right="0.7" top="0.75" bottom="0.75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7B38C-3867-4324-9ED2-ADE740D53D6D}">
  <sheetPr codeName="Sheet18">
    <outlinePr summaryBelow="0"/>
    <pageSetUpPr autoPageBreaks="0"/>
  </sheetPr>
  <dimension ref="A1:AS85"/>
  <sheetViews>
    <sheetView showGridLines="0" topLeftCell="B1" zoomScale="90" zoomScaleNormal="90" workbookViewId="0">
      <selection activeCell="J95" sqref="J95"/>
    </sheetView>
  </sheetViews>
  <sheetFormatPr defaultRowHeight="15" outlineLevelRow="1" outlineLevelCol="1" x14ac:dyDescent="0.25"/>
  <cols>
    <col min="1" max="2" width="1.7109375" customWidth="1"/>
    <col min="3" max="8" width="10.5703125" hidden="1" customWidth="1" outlineLevel="1"/>
    <col min="9" max="9" width="2.7109375" hidden="1" customWidth="1" outlineLevel="1"/>
    <col min="10" max="10" width="25.7109375" customWidth="1" collapsed="1"/>
    <col min="11" max="17" width="16.140625" customWidth="1"/>
    <col min="18" max="18" width="10.28515625" customWidth="1"/>
    <col min="19" max="19" width="2.7109375" hidden="1" customWidth="1" outlineLevel="1"/>
    <col min="20" max="20" width="10.140625" style="11" hidden="1" customWidth="1" outlineLevel="1"/>
    <col min="21" max="22" width="10.140625" hidden="1" customWidth="1" outlineLevel="1"/>
    <col min="23" max="23" width="2.7109375" hidden="1" customWidth="1" outlineLevel="1"/>
    <col min="24" max="26" width="10.140625" hidden="1" customWidth="1" outlineLevel="1"/>
    <col min="27" max="27" width="2.7109375" hidden="1" customWidth="1" outlineLevel="1"/>
    <col min="28" max="28" width="10.140625" style="11" hidden="1" customWidth="1" outlineLevel="1"/>
    <col min="29" max="30" width="10.140625" hidden="1" customWidth="1" outlineLevel="1"/>
    <col min="31" max="31" width="2.7109375" hidden="1" customWidth="1" outlineLevel="1"/>
    <col min="32" max="34" width="9.28515625" style="11" hidden="1" customWidth="1" outlineLevel="1"/>
    <col min="35" max="35" width="2.7109375" style="11" hidden="1" customWidth="1" outlineLevel="1"/>
    <col min="36" max="38" width="9.28515625" hidden="1" customWidth="1" outlineLevel="1"/>
    <col min="39" max="39" width="2.7109375" hidden="1" customWidth="1" outlineLevel="1"/>
    <col min="40" max="42" width="9.28515625" hidden="1" customWidth="1" outlineLevel="1"/>
    <col min="43" max="43" width="2.7109375" hidden="1" customWidth="1" outlineLevel="1"/>
    <col min="44" max="44" width="8.85546875" hidden="1" customWidth="1" outlineLevel="1"/>
    <col min="45" max="45" width="9.140625" collapsed="1"/>
  </cols>
  <sheetData>
    <row r="1" spans="3:42" ht="5.0999999999999996" customHeight="1" x14ac:dyDescent="0.25"/>
    <row r="2" spans="3:42" ht="21" x14ac:dyDescent="0.35">
      <c r="J2" s="1" t="s">
        <v>214</v>
      </c>
      <c r="K2" s="41"/>
      <c r="L2" s="41"/>
      <c r="M2" s="41"/>
      <c r="N2" s="41"/>
      <c r="O2" s="142"/>
      <c r="P2" s="142"/>
      <c r="Q2" s="142"/>
    </row>
    <row r="3" spans="3:42" s="80" customFormat="1" ht="18.75" collapsed="1" x14ac:dyDescent="0.25">
      <c r="J3" s="569" t="s">
        <v>906</v>
      </c>
      <c r="K3" s="995"/>
      <c r="L3" s="995"/>
      <c r="M3" s="995"/>
      <c r="N3" s="995"/>
      <c r="P3" s="996"/>
      <c r="Q3" s="513"/>
      <c r="T3" s="329"/>
      <c r="AB3" s="329"/>
      <c r="AF3" s="329"/>
      <c r="AG3" s="329"/>
      <c r="AH3" s="329"/>
      <c r="AI3" s="329"/>
    </row>
    <row r="4" spans="3:42" hidden="1" outlineLevel="1" x14ac:dyDescent="0.25">
      <c r="C4" s="743" t="s">
        <v>893</v>
      </c>
      <c r="D4" s="743" t="s">
        <v>894</v>
      </c>
      <c r="K4" s="54"/>
      <c r="L4" s="54"/>
      <c r="M4" s="54"/>
      <c r="N4" s="54"/>
      <c r="P4" s="603"/>
      <c r="Q4" s="57"/>
    </row>
    <row r="5" spans="3:42" hidden="1" outlineLevel="1" x14ac:dyDescent="0.25">
      <c r="C5" s="2">
        <v>310</v>
      </c>
      <c r="D5" s="2" t="s">
        <v>214</v>
      </c>
      <c r="K5" s="54"/>
      <c r="L5" s="54"/>
      <c r="M5" s="54"/>
      <c r="N5" s="54"/>
      <c r="P5" s="603"/>
      <c r="Q5" s="57"/>
    </row>
    <row r="6" spans="3:42" hidden="1" outlineLevel="1" x14ac:dyDescent="0.25">
      <c r="K6" s="54"/>
      <c r="L6" s="54"/>
      <c r="M6" s="54"/>
      <c r="N6" s="54"/>
      <c r="P6" s="603"/>
      <c r="Q6" s="57"/>
    </row>
    <row r="7" spans="3:42" hidden="1" outlineLevel="1" x14ac:dyDescent="0.25">
      <c r="K7" s="54"/>
      <c r="L7" s="54"/>
      <c r="M7" s="54"/>
      <c r="N7" s="54"/>
      <c r="P7" s="603"/>
      <c r="Q7" s="57"/>
    </row>
    <row r="8" spans="3:42" hidden="1" outlineLevel="1" x14ac:dyDescent="0.25">
      <c r="C8" s="602" t="s">
        <v>708</v>
      </c>
      <c r="E8" s="602"/>
      <c r="F8" s="602"/>
      <c r="G8" s="602"/>
      <c r="H8" s="602"/>
      <c r="I8" s="602"/>
    </row>
    <row r="9" spans="3:42" hidden="1" outlineLevel="1" x14ac:dyDescent="0.25">
      <c r="C9" t="s">
        <v>709</v>
      </c>
      <c r="E9" s="602"/>
      <c r="F9" s="602"/>
      <c r="G9" s="602"/>
      <c r="H9" s="602"/>
      <c r="I9" s="602"/>
    </row>
    <row r="10" spans="3:42" hidden="1" outlineLevel="1" x14ac:dyDescent="0.25">
      <c r="C10" t="s">
        <v>710</v>
      </c>
      <c r="E10" s="602"/>
      <c r="F10" s="602"/>
      <c r="G10" s="602"/>
      <c r="H10" s="602"/>
      <c r="I10" s="602"/>
    </row>
    <row r="11" spans="3:42" hidden="1" outlineLevel="1" x14ac:dyDescent="0.25">
      <c r="E11" s="602"/>
      <c r="F11" s="602"/>
      <c r="G11" s="602"/>
      <c r="H11" s="602"/>
      <c r="I11" s="602"/>
    </row>
    <row r="12" spans="3:42" x14ac:dyDescent="0.25">
      <c r="E12" s="602"/>
      <c r="F12" s="602"/>
      <c r="G12" s="602"/>
      <c r="H12" s="602"/>
      <c r="I12" s="602"/>
    </row>
    <row r="13" spans="3:42" x14ac:dyDescent="0.25">
      <c r="C13" s="604" t="s">
        <v>648</v>
      </c>
      <c r="D13" s="515" t="s">
        <v>657</v>
      </c>
      <c r="J13" s="604" t="str">
        <f>_xlfn.CONCAT($C$13,"  ",D13)</f>
        <v>•  Class XX, X, Y, or Z</v>
      </c>
      <c r="M13" s="605"/>
      <c r="X13" t="s">
        <v>758</v>
      </c>
      <c r="Z13" s="685">
        <v>0.2</v>
      </c>
      <c r="AB13" t="s">
        <v>779</v>
      </c>
      <c r="AD13" s="685">
        <v>0.4</v>
      </c>
      <c r="AN13" t="s">
        <v>779</v>
      </c>
      <c r="AP13" s="685">
        <v>0.5</v>
      </c>
    </row>
    <row r="14" spans="3:42" x14ac:dyDescent="0.25">
      <c r="D14" s="515" t="s">
        <v>711</v>
      </c>
      <c r="J14" s="604" t="str">
        <f>_xlfn.CONCAT($C$13,"  ",D14)</f>
        <v>•  Go (Minus), NoGo (Plus), or Master (Bilateral) tolerance</v>
      </c>
      <c r="N14" s="604"/>
      <c r="X14" t="s">
        <v>759</v>
      </c>
      <c r="Z14" s="685">
        <v>0.2</v>
      </c>
      <c r="AB14" t="s">
        <v>777</v>
      </c>
      <c r="AD14" s="685">
        <v>0.4</v>
      </c>
      <c r="AN14" t="s">
        <v>777</v>
      </c>
      <c r="AP14" s="685">
        <v>0.5</v>
      </c>
    </row>
    <row r="15" spans="3:42" x14ac:dyDescent="0.25">
      <c r="D15" s="515" t="s">
        <v>658</v>
      </c>
      <c r="I15" s="35"/>
      <c r="J15" s="604" t="str">
        <f>_xlfn.CONCAT($C$13,"  ",D15)</f>
        <v>•  Steel, Chrome, or Carbide</v>
      </c>
      <c r="N15" s="604"/>
      <c r="X15" s="3" t="s">
        <v>763</v>
      </c>
      <c r="Z15" s="685">
        <v>0.05</v>
      </c>
      <c r="AB15" t="s">
        <v>778</v>
      </c>
      <c r="AD15" s="685">
        <v>0.35</v>
      </c>
      <c r="AN15" t="s">
        <v>778</v>
      </c>
      <c r="AP15" s="685">
        <v>0.4</v>
      </c>
    </row>
    <row r="16" spans="3:42" x14ac:dyDescent="0.25">
      <c r="C16" s="145"/>
      <c r="D16" s="89" t="s">
        <v>714</v>
      </c>
      <c r="E16" s="602"/>
      <c r="F16" s="602"/>
      <c r="G16" s="602"/>
      <c r="H16" s="602"/>
      <c r="I16" s="602"/>
      <c r="J16" s="604" t="str">
        <f>_xlfn.CONCAT($C$13,"  ",D16)</f>
        <v>•  Custom marking available – $25 per ring</v>
      </c>
    </row>
    <row r="17" spans="1:42" ht="15.75" thickBot="1" x14ac:dyDescent="0.3">
      <c r="C17" s="145"/>
      <c r="E17" s="143"/>
      <c r="F17" s="143"/>
      <c r="G17" s="143"/>
      <c r="H17" s="143"/>
      <c r="I17" s="143"/>
    </row>
    <row r="18" spans="1:42" s="80" customFormat="1" ht="19.5" customHeight="1" x14ac:dyDescent="0.25">
      <c r="A18"/>
      <c r="B18"/>
      <c r="C18" s="63" t="s">
        <v>634</v>
      </c>
      <c r="J18" s="767" t="s">
        <v>214</v>
      </c>
      <c r="K18" s="774"/>
      <c r="L18" s="774"/>
      <c r="M18" s="774"/>
      <c r="N18" s="774"/>
      <c r="O18" s="774"/>
      <c r="P18" s="775"/>
      <c r="Q18" s="776"/>
      <c r="T18" s="696" t="s">
        <v>899</v>
      </c>
      <c r="U18" s="696"/>
      <c r="V18" s="696"/>
      <c r="X18" s="696" t="s">
        <v>760</v>
      </c>
      <c r="Y18" s="696"/>
      <c r="Z18" s="696"/>
      <c r="AB18" s="696" t="s">
        <v>761</v>
      </c>
      <c r="AC18" s="696"/>
      <c r="AD18" s="696"/>
      <c r="AF18" s="696" t="s">
        <v>762</v>
      </c>
      <c r="AG18" s="696"/>
      <c r="AH18" s="696"/>
      <c r="AJ18" s="696" t="s">
        <v>760</v>
      </c>
      <c r="AK18" s="696"/>
      <c r="AL18" s="696"/>
      <c r="AN18" s="696" t="s">
        <v>761</v>
      </c>
      <c r="AO18" s="696"/>
      <c r="AP18" s="696"/>
    </row>
    <row r="19" spans="1:42" s="80" customFormat="1" ht="19.5" customHeight="1" x14ac:dyDescent="0.25">
      <c r="A19"/>
      <c r="B19"/>
      <c r="C19" s="63" t="s">
        <v>649</v>
      </c>
      <c r="J19" s="300" t="s">
        <v>3</v>
      </c>
      <c r="K19" s="301" t="s">
        <v>587</v>
      </c>
      <c r="L19" s="301" t="s">
        <v>586</v>
      </c>
      <c r="M19" s="301" t="s">
        <v>534</v>
      </c>
      <c r="N19" s="301" t="s">
        <v>579</v>
      </c>
      <c r="O19" s="302" t="s">
        <v>486</v>
      </c>
      <c r="P19" s="303" t="s">
        <v>487</v>
      </c>
      <c r="Q19" s="304" t="s">
        <v>488</v>
      </c>
      <c r="T19" s="196" t="s">
        <v>486</v>
      </c>
      <c r="U19" s="196" t="s">
        <v>487</v>
      </c>
      <c r="V19" s="196" t="s">
        <v>488</v>
      </c>
      <c r="X19" s="196" t="s">
        <v>486</v>
      </c>
      <c r="Y19" s="196" t="s">
        <v>487</v>
      </c>
      <c r="Z19" s="196" t="s">
        <v>488</v>
      </c>
      <c r="AB19" s="196" t="s">
        <v>486</v>
      </c>
      <c r="AC19" s="196" t="s">
        <v>487</v>
      </c>
      <c r="AD19" s="196" t="s">
        <v>488</v>
      </c>
      <c r="AF19" s="10" t="s">
        <v>486</v>
      </c>
      <c r="AG19" s="10" t="s">
        <v>487</v>
      </c>
      <c r="AH19" s="10" t="s">
        <v>488</v>
      </c>
      <c r="AJ19" s="10" t="s">
        <v>486</v>
      </c>
      <c r="AK19" s="10" t="s">
        <v>487</v>
      </c>
      <c r="AL19" s="10" t="s">
        <v>488</v>
      </c>
      <c r="AN19" s="10" t="s">
        <v>486</v>
      </c>
      <c r="AO19" s="10" t="s">
        <v>487</v>
      </c>
      <c r="AP19" s="10" t="s">
        <v>488</v>
      </c>
    </row>
    <row r="20" spans="1:42" s="80" customFormat="1" x14ac:dyDescent="0.25">
      <c r="A20"/>
      <c r="B20"/>
      <c r="J20" s="305"/>
      <c r="K20" s="306"/>
      <c r="L20" s="306"/>
      <c r="M20" s="306"/>
      <c r="N20" s="306" t="s">
        <v>198</v>
      </c>
      <c r="O20" s="688">
        <f>AN20</f>
        <v>470</v>
      </c>
      <c r="P20" s="688">
        <f>AO20</f>
        <v>0</v>
      </c>
      <c r="Q20" s="689">
        <f>AP20</f>
        <v>645</v>
      </c>
      <c r="T20" s="702">
        <v>280</v>
      </c>
      <c r="U20" s="702">
        <v>280</v>
      </c>
      <c r="V20" s="702">
        <v>335</v>
      </c>
      <c r="W20" s="703"/>
      <c r="X20" s="704">
        <f t="shared" ref="X20:X51" si="0">(1-$Z$13)*T20</f>
        <v>224</v>
      </c>
      <c r="Y20" s="704">
        <f t="shared" ref="Y20:Y51" si="1">(1-$Z$13)*U20</f>
        <v>224</v>
      </c>
      <c r="Z20" s="704">
        <f t="shared" ref="Z20:Z51" si="2">(1-$Z$13)*V20</f>
        <v>268</v>
      </c>
      <c r="AA20" s="705"/>
      <c r="AB20" s="706">
        <f>MROUND((X20/((1-$AD$13)*(1-$Z$14))),5)</f>
        <v>465</v>
      </c>
      <c r="AC20" s="706">
        <f>MROUND(((Y20/((1-$AD$14)*(1-$Z$14)))*(1+$Z$15)),5)</f>
        <v>490</v>
      </c>
      <c r="AD20" s="706">
        <f>MROUND((Z20/((1-$AD$15)*(1-$Z$14))),5)</f>
        <v>515</v>
      </c>
      <c r="AE20" s="705"/>
      <c r="AF20" s="707">
        <v>235</v>
      </c>
      <c r="AG20" s="707">
        <v>0</v>
      </c>
      <c r="AH20" s="707">
        <v>387</v>
      </c>
      <c r="AI20" s="706"/>
      <c r="AJ20" s="704">
        <f t="shared" ref="AJ20:AL23" si="3">(1-$Z$13)*AF20</f>
        <v>188</v>
      </c>
      <c r="AK20" s="704">
        <f t="shared" si="3"/>
        <v>0</v>
      </c>
      <c r="AL20" s="704">
        <f t="shared" si="3"/>
        <v>309.60000000000002</v>
      </c>
      <c r="AM20" s="705"/>
      <c r="AN20" s="706">
        <f>MROUND((AJ20/((1-$AP$13)*(1-$Z$14))),5)</f>
        <v>470</v>
      </c>
      <c r="AO20" s="706">
        <f>MROUND((AK20/((1-$AP$14)*(1-$Z$14))),5)</f>
        <v>0</v>
      </c>
      <c r="AP20" s="706">
        <f>MROUND((AL20/((1-$AP$15)*(1-$Z$14))),5)</f>
        <v>645</v>
      </c>
    </row>
    <row r="21" spans="1:42" s="80" customFormat="1" x14ac:dyDescent="0.25">
      <c r="A21"/>
      <c r="B21"/>
      <c r="C21" t="s">
        <v>6</v>
      </c>
      <c r="D21" s="148">
        <v>0.04</v>
      </c>
      <c r="E21" s="148">
        <v>7.0000000000000007E-2</v>
      </c>
      <c r="F21" s="144"/>
      <c r="G21" s="144"/>
      <c r="H21" s="144"/>
      <c r="I21" s="144"/>
      <c r="J21" s="308" t="str">
        <f>_xlfn.CONCAT(TEXT($D21,"#.0000"),""""," to ",TEXT($E21,"#.000#"),"""")</f>
        <v>.0400" to .070"</v>
      </c>
      <c r="K21" s="1070" t="s">
        <v>494</v>
      </c>
      <c r="L21" s="1069">
        <v>0.9375</v>
      </c>
      <c r="M21" s="1069">
        <v>0.1875</v>
      </c>
      <c r="N21" s="309" t="s">
        <v>197</v>
      </c>
      <c r="O21" s="405">
        <f t="shared" ref="O21:O22" si="4">AN21</f>
        <v>385</v>
      </c>
      <c r="P21" s="405">
        <f t="shared" ref="P21:P23" si="5">AO21</f>
        <v>0</v>
      </c>
      <c r="Q21" s="161">
        <f>AP21</f>
        <v>535</v>
      </c>
      <c r="T21" s="702">
        <v>240</v>
      </c>
      <c r="U21" s="702">
        <v>240</v>
      </c>
      <c r="V21" s="702">
        <v>276</v>
      </c>
      <c r="W21" s="703"/>
      <c r="X21" s="704">
        <f t="shared" si="0"/>
        <v>192</v>
      </c>
      <c r="Y21" s="704">
        <f t="shared" si="1"/>
        <v>192</v>
      </c>
      <c r="Z21" s="704">
        <f t="shared" si="2"/>
        <v>220.8</v>
      </c>
      <c r="AA21" s="705"/>
      <c r="AB21" s="706">
        <f t="shared" ref="AB21:AB71" si="6">MROUND((X21/((1-$AD$13)*(1-$Z$14))),5)</f>
        <v>400</v>
      </c>
      <c r="AC21" s="706">
        <f t="shared" ref="AC21:AC71" si="7">MROUND(((Y21/((1-$AD$14)*(1-$Z$14)))*(1+$Z$15)),5)</f>
        <v>420</v>
      </c>
      <c r="AD21" s="706">
        <f t="shared" ref="AD21:AD71" si="8">MROUND((Z21/((1-$AD$15)*(1-$Z$14))),5)</f>
        <v>425</v>
      </c>
      <c r="AE21" s="705"/>
      <c r="AF21" s="707">
        <v>193</v>
      </c>
      <c r="AG21" s="707">
        <v>0</v>
      </c>
      <c r="AH21" s="707">
        <v>322</v>
      </c>
      <c r="AI21" s="706"/>
      <c r="AJ21" s="704">
        <f t="shared" si="3"/>
        <v>154.4</v>
      </c>
      <c r="AK21" s="704">
        <f t="shared" si="3"/>
        <v>0</v>
      </c>
      <c r="AL21" s="704">
        <f t="shared" si="3"/>
        <v>257.60000000000002</v>
      </c>
      <c r="AM21" s="705"/>
      <c r="AN21" s="706">
        <f>MROUND((AJ21/((1-$AP$13)*(1-$Z$14))),5)</f>
        <v>385</v>
      </c>
      <c r="AO21" s="706">
        <f t="shared" ref="AO21:AO22" si="9">MROUND((AK21/((1-$AP$14)*(1-$Z$14))),5)</f>
        <v>0</v>
      </c>
      <c r="AP21" s="706">
        <f t="shared" ref="AP21:AP22" si="10">MROUND((AL21/((1-$AP$15)*(1-$Z$14))),5)</f>
        <v>535</v>
      </c>
    </row>
    <row r="22" spans="1:42" s="80" customFormat="1" x14ac:dyDescent="0.25">
      <c r="A22"/>
      <c r="B22"/>
      <c r="C22" t="s">
        <v>585</v>
      </c>
      <c r="D22" s="149">
        <v>1.016</v>
      </c>
      <c r="E22" s="149">
        <v>1.78</v>
      </c>
      <c r="F22" s="149"/>
      <c r="G22" s="149"/>
      <c r="H22" s="149"/>
      <c r="I22" s="144"/>
      <c r="J22" s="308" t="str">
        <f>_xlfn.CONCAT(TEXT($D22,"0.00#"),"mm"," to ",TEXT($E22,"0.00#"),"mm")</f>
        <v>1.016mm to 1.78mm</v>
      </c>
      <c r="K22" s="1070"/>
      <c r="L22" s="1069"/>
      <c r="M22" s="1069"/>
      <c r="N22" s="309" t="s">
        <v>209</v>
      </c>
      <c r="O22" s="405">
        <f t="shared" si="4"/>
        <v>380</v>
      </c>
      <c r="P22" s="405">
        <f t="shared" si="5"/>
        <v>0</v>
      </c>
      <c r="Q22" s="161">
        <f t="shared" ref="Q22" si="11">AP22</f>
        <v>510</v>
      </c>
      <c r="T22" s="702">
        <v>226</v>
      </c>
      <c r="U22" s="702">
        <v>226</v>
      </c>
      <c r="V22" s="702">
        <v>265</v>
      </c>
      <c r="W22" s="703"/>
      <c r="X22" s="704">
        <f t="shared" si="0"/>
        <v>180.8</v>
      </c>
      <c r="Y22" s="704">
        <f t="shared" si="1"/>
        <v>180.8</v>
      </c>
      <c r="Z22" s="704">
        <f t="shared" si="2"/>
        <v>212</v>
      </c>
      <c r="AA22" s="705"/>
      <c r="AB22" s="706">
        <f t="shared" si="6"/>
        <v>375</v>
      </c>
      <c r="AC22" s="706">
        <f t="shared" si="7"/>
        <v>395</v>
      </c>
      <c r="AD22" s="706">
        <f t="shared" si="8"/>
        <v>410</v>
      </c>
      <c r="AE22" s="705"/>
      <c r="AF22" s="707">
        <v>190</v>
      </c>
      <c r="AG22" s="707">
        <v>0</v>
      </c>
      <c r="AH22" s="707">
        <v>305</v>
      </c>
      <c r="AI22" s="706"/>
      <c r="AJ22" s="704">
        <f t="shared" si="3"/>
        <v>152</v>
      </c>
      <c r="AK22" s="704">
        <f t="shared" si="3"/>
        <v>0</v>
      </c>
      <c r="AL22" s="704">
        <f t="shared" si="3"/>
        <v>244</v>
      </c>
      <c r="AM22" s="705"/>
      <c r="AN22" s="706">
        <f t="shared" ref="AN22" si="12">MROUND((AJ22/((1-$AP$13)*(1-$Z$14))),5)</f>
        <v>380</v>
      </c>
      <c r="AO22" s="706">
        <f t="shared" si="9"/>
        <v>0</v>
      </c>
      <c r="AP22" s="706">
        <f t="shared" si="10"/>
        <v>510</v>
      </c>
    </row>
    <row r="23" spans="1:42" s="80" customFormat="1" ht="15.75" thickBot="1" x14ac:dyDescent="0.3">
      <c r="A23"/>
      <c r="B23"/>
      <c r="J23" s="310"/>
      <c r="K23" s="311"/>
      <c r="L23" s="311"/>
      <c r="M23" s="311"/>
      <c r="N23" s="312" t="s">
        <v>196</v>
      </c>
      <c r="O23" s="405">
        <f>AN23</f>
        <v>380</v>
      </c>
      <c r="P23" s="405">
        <f t="shared" si="5"/>
        <v>0</v>
      </c>
      <c r="Q23" s="161">
        <f>AP23</f>
        <v>495</v>
      </c>
      <c r="T23" s="728">
        <v>200</v>
      </c>
      <c r="U23" s="728">
        <v>200</v>
      </c>
      <c r="V23" s="728">
        <v>248</v>
      </c>
      <c r="W23" s="703"/>
      <c r="X23" s="729">
        <f t="shared" si="0"/>
        <v>160</v>
      </c>
      <c r="Y23" s="729">
        <f t="shared" si="1"/>
        <v>160</v>
      </c>
      <c r="Z23" s="729">
        <f t="shared" si="2"/>
        <v>198.4</v>
      </c>
      <c r="AA23" s="705"/>
      <c r="AB23" s="730">
        <f t="shared" si="6"/>
        <v>335</v>
      </c>
      <c r="AC23" s="730">
        <f t="shared" si="7"/>
        <v>350</v>
      </c>
      <c r="AD23" s="730">
        <f t="shared" si="8"/>
        <v>380</v>
      </c>
      <c r="AE23" s="705"/>
      <c r="AF23" s="731">
        <v>190</v>
      </c>
      <c r="AG23" s="731">
        <v>0</v>
      </c>
      <c r="AH23" s="731">
        <v>296</v>
      </c>
      <c r="AI23" s="706"/>
      <c r="AJ23" s="729">
        <f t="shared" si="3"/>
        <v>152</v>
      </c>
      <c r="AK23" s="729">
        <f t="shared" si="3"/>
        <v>0</v>
      </c>
      <c r="AL23" s="729">
        <f t="shared" si="3"/>
        <v>236.8</v>
      </c>
      <c r="AM23" s="705"/>
      <c r="AN23" s="730">
        <f t="shared" ref="AN23" si="13">MROUND((AJ23/((1-$AP$13)*(1-$Z$14))),5)</f>
        <v>380</v>
      </c>
      <c r="AO23" s="730">
        <f t="shared" ref="AO23" si="14">MROUND((AK23/((1-$AP$14)*(1-$Z$14))),5)</f>
        <v>0</v>
      </c>
      <c r="AP23" s="730">
        <f t="shared" ref="AP23" si="15">MROUND((AL23/((1-$AP$15)*(1-$Z$14))),5)</f>
        <v>495</v>
      </c>
    </row>
    <row r="24" spans="1:42" x14ac:dyDescent="0.25">
      <c r="C24" s="80"/>
      <c r="D24" s="80"/>
      <c r="E24" s="80"/>
      <c r="F24" s="80"/>
      <c r="G24" s="80"/>
      <c r="H24" s="80"/>
      <c r="I24" s="80"/>
      <c r="J24" s="313"/>
      <c r="K24" s="314"/>
      <c r="L24" s="314"/>
      <c r="M24" s="314"/>
      <c r="N24" s="314" t="s">
        <v>198</v>
      </c>
      <c r="O24" s="690">
        <f>$AB24</f>
        <v>410</v>
      </c>
      <c r="P24" s="315">
        <v>0</v>
      </c>
      <c r="Q24" s="691">
        <f>$AD24</f>
        <v>515</v>
      </c>
      <c r="T24" s="707">
        <v>246</v>
      </c>
      <c r="U24" s="707">
        <v>246</v>
      </c>
      <c r="V24" s="707">
        <v>335</v>
      </c>
      <c r="W24" s="703"/>
      <c r="X24" s="704">
        <f>(1-$Z$13)*T24</f>
        <v>196.8</v>
      </c>
      <c r="Y24" s="704">
        <f t="shared" si="1"/>
        <v>196.8</v>
      </c>
      <c r="Z24" s="704">
        <f t="shared" si="2"/>
        <v>268</v>
      </c>
      <c r="AA24" s="711"/>
      <c r="AB24" s="706">
        <f t="shared" si="6"/>
        <v>410</v>
      </c>
      <c r="AC24" s="706">
        <f t="shared" si="7"/>
        <v>430</v>
      </c>
      <c r="AD24" s="706">
        <f t="shared" si="8"/>
        <v>515</v>
      </c>
      <c r="AE24" s="711"/>
      <c r="AF24" s="712"/>
      <c r="AG24" s="712"/>
      <c r="AH24" s="712"/>
      <c r="AI24" s="712"/>
      <c r="AJ24" s="711"/>
      <c r="AK24" s="711"/>
      <c r="AL24" s="711"/>
      <c r="AM24" s="711"/>
      <c r="AN24" s="711"/>
      <c r="AO24" s="711"/>
      <c r="AP24" s="711"/>
    </row>
    <row r="25" spans="1:42" x14ac:dyDescent="0.25">
      <c r="C25" t="s">
        <v>6</v>
      </c>
      <c r="D25" s="148">
        <v>7.010000000000001E-2</v>
      </c>
      <c r="E25" s="148">
        <v>0.15</v>
      </c>
      <c r="F25" s="144"/>
      <c r="G25" s="144"/>
      <c r="H25" s="144"/>
      <c r="I25" s="144"/>
      <c r="J25" s="317" t="str">
        <f>_xlfn.CONCAT(TEXT($D25,"#.000#"),""""," to ",TEXT($E25,"#.000#"),"""")</f>
        <v>.0701" to .150"</v>
      </c>
      <c r="K25" s="1071" t="s">
        <v>494</v>
      </c>
      <c r="L25" s="1068">
        <v>0.9375</v>
      </c>
      <c r="M25" s="1068">
        <v>0.1875</v>
      </c>
      <c r="N25" s="318" t="s">
        <v>197</v>
      </c>
      <c r="O25" s="423">
        <f t="shared" ref="O25:O71" si="16">$AB25</f>
        <v>325</v>
      </c>
      <c r="P25" s="319">
        <v>0</v>
      </c>
      <c r="Q25" s="177">
        <f t="shared" ref="Q25:Q51" si="17">$AD25</f>
        <v>425</v>
      </c>
      <c r="T25" s="707">
        <v>194</v>
      </c>
      <c r="U25" s="707">
        <v>194</v>
      </c>
      <c r="V25" s="707">
        <v>276</v>
      </c>
      <c r="W25" s="703"/>
      <c r="X25" s="704">
        <f t="shared" si="0"/>
        <v>155.20000000000002</v>
      </c>
      <c r="Y25" s="704">
        <f t="shared" si="1"/>
        <v>155.20000000000002</v>
      </c>
      <c r="Z25" s="704">
        <f t="shared" si="2"/>
        <v>220.8</v>
      </c>
      <c r="AA25" s="711"/>
      <c r="AB25" s="706">
        <f t="shared" si="6"/>
        <v>325</v>
      </c>
      <c r="AC25" s="706">
        <f t="shared" si="7"/>
        <v>340</v>
      </c>
      <c r="AD25" s="706">
        <f t="shared" si="8"/>
        <v>425</v>
      </c>
      <c r="AE25" s="711"/>
      <c r="AF25" s="712"/>
      <c r="AG25" s="712"/>
      <c r="AH25" s="712"/>
      <c r="AI25" s="712"/>
      <c r="AJ25" s="711"/>
      <c r="AK25" s="711"/>
      <c r="AL25" s="711"/>
      <c r="AM25" s="711"/>
      <c r="AN25" s="711"/>
      <c r="AO25" s="711"/>
      <c r="AP25" s="711"/>
    </row>
    <row r="26" spans="1:42" x14ac:dyDescent="0.25">
      <c r="C26" t="s">
        <v>585</v>
      </c>
      <c r="D26" s="149">
        <v>1.7809999999999999</v>
      </c>
      <c r="E26" s="149">
        <v>3.81</v>
      </c>
      <c r="F26" s="149"/>
      <c r="G26" s="149"/>
      <c r="H26" s="149"/>
      <c r="I26" s="144"/>
      <c r="J26" s="317" t="str">
        <f>_xlfn.CONCAT(TEXT($D26,"0.00#"),"mm"," to ",TEXT($E26,"0.00#"),"mm")</f>
        <v>1.781mm to 3.81mm</v>
      </c>
      <c r="K26" s="1071"/>
      <c r="L26" s="1068"/>
      <c r="M26" s="1068"/>
      <c r="N26" s="318" t="s">
        <v>209</v>
      </c>
      <c r="O26" s="423">
        <f t="shared" si="16"/>
        <v>315</v>
      </c>
      <c r="P26" s="319">
        <v>0</v>
      </c>
      <c r="Q26" s="177">
        <f t="shared" si="17"/>
        <v>410</v>
      </c>
      <c r="T26" s="707">
        <v>188</v>
      </c>
      <c r="U26" s="707">
        <v>188</v>
      </c>
      <c r="V26" s="707">
        <v>265</v>
      </c>
      <c r="W26" s="703"/>
      <c r="X26" s="704">
        <f t="shared" si="0"/>
        <v>150.4</v>
      </c>
      <c r="Y26" s="704">
        <f t="shared" si="1"/>
        <v>150.4</v>
      </c>
      <c r="Z26" s="704">
        <f t="shared" si="2"/>
        <v>212</v>
      </c>
      <c r="AA26" s="711"/>
      <c r="AB26" s="706">
        <f t="shared" si="6"/>
        <v>315</v>
      </c>
      <c r="AC26" s="706">
        <f t="shared" si="7"/>
        <v>330</v>
      </c>
      <c r="AD26" s="706">
        <f t="shared" si="8"/>
        <v>410</v>
      </c>
      <c r="AE26" s="711"/>
      <c r="AF26" s="712"/>
      <c r="AG26" s="712"/>
      <c r="AH26" s="712"/>
      <c r="AI26" s="712"/>
      <c r="AJ26" s="711"/>
      <c r="AK26" s="711"/>
      <c r="AL26" s="711"/>
      <c r="AM26" s="711"/>
      <c r="AN26" s="711"/>
      <c r="AO26" s="711"/>
      <c r="AP26" s="711"/>
    </row>
    <row r="27" spans="1:42" x14ac:dyDescent="0.25">
      <c r="C27" s="80"/>
      <c r="D27" s="80"/>
      <c r="E27" s="80"/>
      <c r="F27" s="80"/>
      <c r="G27" s="80"/>
      <c r="H27" s="80"/>
      <c r="I27" s="80"/>
      <c r="J27" s="321"/>
      <c r="K27" s="322"/>
      <c r="L27" s="322"/>
      <c r="M27" s="322"/>
      <c r="N27" s="323" t="s">
        <v>196</v>
      </c>
      <c r="O27" s="423">
        <f t="shared" si="16"/>
        <v>305</v>
      </c>
      <c r="P27" s="319">
        <v>0</v>
      </c>
      <c r="Q27" s="177">
        <f t="shared" si="17"/>
        <v>380</v>
      </c>
      <c r="T27" s="710">
        <v>182</v>
      </c>
      <c r="U27" s="710">
        <v>182</v>
      </c>
      <c r="V27" s="710">
        <v>248</v>
      </c>
      <c r="W27" s="703"/>
      <c r="X27" s="708">
        <f t="shared" si="0"/>
        <v>145.6</v>
      </c>
      <c r="Y27" s="708">
        <f t="shared" si="1"/>
        <v>145.6</v>
      </c>
      <c r="Z27" s="708">
        <f t="shared" si="2"/>
        <v>198.4</v>
      </c>
      <c r="AA27" s="711"/>
      <c r="AB27" s="709">
        <f t="shared" si="6"/>
        <v>305</v>
      </c>
      <c r="AC27" s="709">
        <f t="shared" si="7"/>
        <v>320</v>
      </c>
      <c r="AD27" s="709">
        <f t="shared" si="8"/>
        <v>380</v>
      </c>
      <c r="AE27" s="711"/>
      <c r="AF27" s="712"/>
      <c r="AG27" s="712"/>
      <c r="AH27" s="712"/>
      <c r="AI27" s="712"/>
      <c r="AJ27" s="711"/>
      <c r="AK27" s="711"/>
      <c r="AL27" s="711"/>
      <c r="AM27" s="711"/>
      <c r="AN27" s="711"/>
      <c r="AO27" s="711"/>
      <c r="AP27" s="711"/>
    </row>
    <row r="28" spans="1:42" x14ac:dyDescent="0.25">
      <c r="C28" s="80"/>
      <c r="D28" s="80"/>
      <c r="E28" s="80"/>
      <c r="F28" s="80"/>
      <c r="G28" s="80"/>
      <c r="H28" s="80"/>
      <c r="I28" s="80"/>
      <c r="J28" s="305"/>
      <c r="K28" s="306"/>
      <c r="L28" s="306"/>
      <c r="M28" s="306"/>
      <c r="N28" s="306" t="s">
        <v>198</v>
      </c>
      <c r="O28" s="688">
        <f t="shared" si="16"/>
        <v>310</v>
      </c>
      <c r="P28" s="688">
        <f>$AC28</f>
        <v>325</v>
      </c>
      <c r="Q28" s="689">
        <f t="shared" si="17"/>
        <v>470</v>
      </c>
      <c r="T28" s="707">
        <v>187</v>
      </c>
      <c r="U28" s="707">
        <v>187</v>
      </c>
      <c r="V28" s="707">
        <v>305</v>
      </c>
      <c r="W28" s="703"/>
      <c r="X28" s="704">
        <f t="shared" si="0"/>
        <v>149.6</v>
      </c>
      <c r="Y28" s="704">
        <f>(1-$Z$13)*U28</f>
        <v>149.6</v>
      </c>
      <c r="Z28" s="704">
        <f t="shared" si="2"/>
        <v>244</v>
      </c>
      <c r="AA28" s="711"/>
      <c r="AB28" s="706">
        <f t="shared" si="6"/>
        <v>310</v>
      </c>
      <c r="AC28" s="706">
        <f>MROUND(((Y28/((1-$AD$14)*(1-$Z$14)))*(1+$Z$15)),5)</f>
        <v>325</v>
      </c>
      <c r="AD28" s="706">
        <f t="shared" si="8"/>
        <v>470</v>
      </c>
      <c r="AE28" s="711"/>
      <c r="AF28" s="712"/>
      <c r="AG28" s="712"/>
      <c r="AH28" s="712"/>
      <c r="AI28" s="712"/>
      <c r="AJ28" s="711"/>
      <c r="AK28" s="711"/>
      <c r="AL28" s="711"/>
      <c r="AM28" s="711"/>
      <c r="AN28" s="711"/>
      <c r="AO28" s="711"/>
      <c r="AP28" s="711"/>
    </row>
    <row r="29" spans="1:42" x14ac:dyDescent="0.25">
      <c r="C29" t="s">
        <v>6</v>
      </c>
      <c r="D29" s="148">
        <v>0.15009999999999998</v>
      </c>
      <c r="E29" s="148">
        <v>0.23</v>
      </c>
      <c r="F29" s="144"/>
      <c r="G29" s="144"/>
      <c r="H29" s="144"/>
      <c r="I29" s="144"/>
      <c r="J29" s="324" t="str">
        <f>_xlfn.CONCAT(TEXT($D29,"#.000#"),""""," to ",TEXT($E29,"#.000#"),"""")</f>
        <v>.1501" to .230"</v>
      </c>
      <c r="K29" s="1070">
        <v>0</v>
      </c>
      <c r="L29" s="1069">
        <v>0.9375</v>
      </c>
      <c r="M29" s="1069">
        <v>0.375</v>
      </c>
      <c r="N29" s="309" t="s">
        <v>197</v>
      </c>
      <c r="O29" s="405">
        <f t="shared" si="16"/>
        <v>270</v>
      </c>
      <c r="P29" s="405">
        <f t="shared" ref="P29:P71" si="18">$AC29</f>
        <v>285</v>
      </c>
      <c r="Q29" s="161">
        <f t="shared" si="17"/>
        <v>410</v>
      </c>
      <c r="T29" s="707">
        <v>163</v>
      </c>
      <c r="U29" s="707">
        <v>163</v>
      </c>
      <c r="V29" s="707">
        <v>265</v>
      </c>
      <c r="W29" s="703"/>
      <c r="X29" s="704">
        <f t="shared" si="0"/>
        <v>130.4</v>
      </c>
      <c r="Y29" s="704">
        <f t="shared" si="1"/>
        <v>130.4</v>
      </c>
      <c r="Z29" s="704">
        <f t="shared" si="2"/>
        <v>212</v>
      </c>
      <c r="AA29" s="711"/>
      <c r="AB29" s="706">
        <f t="shared" si="6"/>
        <v>270</v>
      </c>
      <c r="AC29" s="706">
        <f t="shared" si="7"/>
        <v>285</v>
      </c>
      <c r="AD29" s="706">
        <f t="shared" si="8"/>
        <v>410</v>
      </c>
      <c r="AE29" s="711"/>
      <c r="AF29" s="712"/>
      <c r="AG29" s="712"/>
      <c r="AH29" s="712"/>
      <c r="AI29" s="712"/>
      <c r="AJ29" s="711"/>
      <c r="AK29" s="711"/>
      <c r="AL29" s="711"/>
      <c r="AM29" s="711"/>
      <c r="AN29" s="711"/>
      <c r="AO29" s="711"/>
      <c r="AP29" s="711"/>
    </row>
    <row r="30" spans="1:42" x14ac:dyDescent="0.25">
      <c r="C30" t="s">
        <v>585</v>
      </c>
      <c r="D30" s="149">
        <v>3.8109999999999999</v>
      </c>
      <c r="E30" s="149">
        <v>5.84</v>
      </c>
      <c r="F30" s="149"/>
      <c r="G30" s="149"/>
      <c r="H30" s="149"/>
      <c r="I30" s="144"/>
      <c r="J30" s="324" t="str">
        <f>_xlfn.CONCAT(TEXT($D30,"0.00#"),"mm"," to ",TEXT($E30,"0.00#"),"mm")</f>
        <v>3.811mm to 5.84mm</v>
      </c>
      <c r="K30" s="1070"/>
      <c r="L30" s="1069"/>
      <c r="M30" s="1069"/>
      <c r="N30" s="309" t="s">
        <v>209</v>
      </c>
      <c r="O30" s="405">
        <f t="shared" si="16"/>
        <v>255</v>
      </c>
      <c r="P30" s="405">
        <f t="shared" si="18"/>
        <v>265</v>
      </c>
      <c r="Q30" s="161">
        <f t="shared" si="17"/>
        <v>395</v>
      </c>
      <c r="T30" s="707">
        <v>152</v>
      </c>
      <c r="U30" s="707">
        <v>152</v>
      </c>
      <c r="V30" s="707">
        <v>258</v>
      </c>
      <c r="W30" s="703"/>
      <c r="X30" s="704">
        <f t="shared" si="0"/>
        <v>121.60000000000001</v>
      </c>
      <c r="Y30" s="704">
        <f t="shared" si="1"/>
        <v>121.60000000000001</v>
      </c>
      <c r="Z30" s="704">
        <f t="shared" si="2"/>
        <v>206.4</v>
      </c>
      <c r="AA30" s="711"/>
      <c r="AB30" s="706">
        <f t="shared" si="6"/>
        <v>255</v>
      </c>
      <c r="AC30" s="706">
        <f t="shared" si="7"/>
        <v>265</v>
      </c>
      <c r="AD30" s="706">
        <f t="shared" si="8"/>
        <v>395</v>
      </c>
      <c r="AE30" s="711"/>
      <c r="AF30" s="712"/>
      <c r="AG30" s="712"/>
      <c r="AH30" s="712"/>
      <c r="AI30" s="712"/>
      <c r="AJ30" s="711"/>
      <c r="AK30" s="711"/>
      <c r="AL30" s="711"/>
      <c r="AM30" s="711"/>
      <c r="AN30" s="711"/>
      <c r="AO30" s="711"/>
      <c r="AP30" s="711"/>
    </row>
    <row r="31" spans="1:42" x14ac:dyDescent="0.25">
      <c r="C31" s="80"/>
      <c r="D31" s="80"/>
      <c r="E31" s="80"/>
      <c r="F31" s="80"/>
      <c r="G31" s="80"/>
      <c r="H31" s="80"/>
      <c r="I31" s="80"/>
      <c r="J31" s="310"/>
      <c r="K31" s="311"/>
      <c r="L31" s="311"/>
      <c r="M31" s="311"/>
      <c r="N31" s="312" t="s">
        <v>196</v>
      </c>
      <c r="O31" s="405">
        <f t="shared" si="16"/>
        <v>235</v>
      </c>
      <c r="P31" s="405">
        <f t="shared" si="18"/>
        <v>245</v>
      </c>
      <c r="Q31" s="161">
        <f t="shared" si="17"/>
        <v>370</v>
      </c>
      <c r="T31" s="710">
        <v>140</v>
      </c>
      <c r="U31" s="710">
        <v>140</v>
      </c>
      <c r="V31" s="710">
        <v>242</v>
      </c>
      <c r="W31" s="703"/>
      <c r="X31" s="708">
        <f t="shared" si="0"/>
        <v>112</v>
      </c>
      <c r="Y31" s="708">
        <f t="shared" si="1"/>
        <v>112</v>
      </c>
      <c r="Z31" s="708">
        <f t="shared" si="2"/>
        <v>193.60000000000002</v>
      </c>
      <c r="AA31" s="711"/>
      <c r="AB31" s="709">
        <f t="shared" si="6"/>
        <v>235</v>
      </c>
      <c r="AC31" s="709">
        <f t="shared" si="7"/>
        <v>245</v>
      </c>
      <c r="AD31" s="709">
        <f t="shared" si="8"/>
        <v>370</v>
      </c>
      <c r="AE31" s="711"/>
      <c r="AF31" s="712"/>
      <c r="AG31" s="712"/>
      <c r="AH31" s="712"/>
      <c r="AI31" s="712"/>
      <c r="AJ31" s="711"/>
      <c r="AK31" s="711"/>
      <c r="AL31" s="711"/>
      <c r="AM31" s="711"/>
      <c r="AN31" s="711"/>
      <c r="AO31" s="711"/>
      <c r="AP31" s="711"/>
    </row>
    <row r="32" spans="1:42" x14ac:dyDescent="0.25">
      <c r="C32" s="80"/>
      <c r="D32" s="80"/>
      <c r="E32" s="80"/>
      <c r="F32" s="80"/>
      <c r="G32" s="80"/>
      <c r="H32" s="80"/>
      <c r="I32" s="80"/>
      <c r="J32" s="313"/>
      <c r="K32" s="314"/>
      <c r="L32" s="314"/>
      <c r="M32" s="314"/>
      <c r="N32" s="314" t="s">
        <v>198</v>
      </c>
      <c r="O32" s="690">
        <f t="shared" si="16"/>
        <v>285</v>
      </c>
      <c r="P32" s="690">
        <f t="shared" si="18"/>
        <v>300</v>
      </c>
      <c r="Q32" s="691">
        <f t="shared" si="17"/>
        <v>460</v>
      </c>
      <c r="T32" s="707">
        <v>170</v>
      </c>
      <c r="U32" s="707">
        <v>170</v>
      </c>
      <c r="V32" s="707">
        <v>300</v>
      </c>
      <c r="W32" s="703"/>
      <c r="X32" s="704">
        <f t="shared" si="0"/>
        <v>136</v>
      </c>
      <c r="Y32" s="704">
        <f t="shared" si="1"/>
        <v>136</v>
      </c>
      <c r="Z32" s="704">
        <f t="shared" si="2"/>
        <v>240</v>
      </c>
      <c r="AA32" s="711"/>
      <c r="AB32" s="706">
        <f t="shared" si="6"/>
        <v>285</v>
      </c>
      <c r="AC32" s="706">
        <f t="shared" si="7"/>
        <v>300</v>
      </c>
      <c r="AD32" s="706">
        <f t="shared" si="8"/>
        <v>460</v>
      </c>
      <c r="AE32" s="711"/>
      <c r="AF32" s="712"/>
      <c r="AG32" s="712"/>
      <c r="AH32" s="712"/>
      <c r="AI32" s="712"/>
      <c r="AJ32" s="711"/>
      <c r="AK32" s="711"/>
      <c r="AL32" s="711"/>
      <c r="AM32" s="711"/>
      <c r="AN32" s="711"/>
      <c r="AO32" s="711"/>
      <c r="AP32" s="711"/>
    </row>
    <row r="33" spans="3:42" x14ac:dyDescent="0.25">
      <c r="C33" t="s">
        <v>6</v>
      </c>
      <c r="D33" s="148">
        <v>0.2301</v>
      </c>
      <c r="E33" s="148">
        <v>0.36499999999999999</v>
      </c>
      <c r="F33" s="144"/>
      <c r="G33" s="144"/>
      <c r="H33" s="144"/>
      <c r="I33" s="144"/>
      <c r="J33" s="317" t="str">
        <f>_xlfn.CONCAT(TEXT($D33,"#.000#"),""""," to ",TEXT($E33,"#.000#"),"""")</f>
        <v>.2301" to .365"</v>
      </c>
      <c r="K33" s="1071">
        <v>1</v>
      </c>
      <c r="L33" s="1068">
        <v>1.125</v>
      </c>
      <c r="M33" s="1068">
        <v>0.5625</v>
      </c>
      <c r="N33" s="318" t="s">
        <v>197</v>
      </c>
      <c r="O33" s="423">
        <f t="shared" si="16"/>
        <v>240</v>
      </c>
      <c r="P33" s="423">
        <f t="shared" si="18"/>
        <v>255</v>
      </c>
      <c r="Q33" s="177">
        <f t="shared" si="17"/>
        <v>390</v>
      </c>
      <c r="T33" s="707">
        <v>145</v>
      </c>
      <c r="U33" s="707">
        <v>145</v>
      </c>
      <c r="V33" s="707">
        <v>254</v>
      </c>
      <c r="W33" s="703"/>
      <c r="X33" s="704">
        <f t="shared" si="0"/>
        <v>116</v>
      </c>
      <c r="Y33" s="704">
        <f t="shared" si="1"/>
        <v>116</v>
      </c>
      <c r="Z33" s="704">
        <f t="shared" si="2"/>
        <v>203.20000000000002</v>
      </c>
      <c r="AA33" s="711"/>
      <c r="AB33" s="706">
        <f t="shared" si="6"/>
        <v>240</v>
      </c>
      <c r="AC33" s="706">
        <f t="shared" si="7"/>
        <v>255</v>
      </c>
      <c r="AD33" s="706">
        <f t="shared" si="8"/>
        <v>390</v>
      </c>
      <c r="AE33" s="711"/>
      <c r="AF33" s="712"/>
      <c r="AG33" s="712"/>
      <c r="AH33" s="712"/>
      <c r="AI33" s="712"/>
      <c r="AJ33" s="711"/>
      <c r="AK33" s="711"/>
      <c r="AL33" s="711"/>
      <c r="AM33" s="711"/>
      <c r="AN33" s="711"/>
      <c r="AO33" s="711"/>
      <c r="AP33" s="711"/>
    </row>
    <row r="34" spans="3:42" x14ac:dyDescent="0.25">
      <c r="C34" t="s">
        <v>585</v>
      </c>
      <c r="D34" s="149">
        <v>5.8410000000000002</v>
      </c>
      <c r="E34" s="149">
        <v>9.27</v>
      </c>
      <c r="F34" s="149"/>
      <c r="G34" s="149"/>
      <c r="H34" s="149"/>
      <c r="I34" s="144"/>
      <c r="J34" s="317" t="str">
        <f>_xlfn.CONCAT(TEXT($D34,"0.00#"),"mm"," to ",TEXT($E34,"0.00#"),"mm")</f>
        <v>5.841mm to 9.27mm</v>
      </c>
      <c r="K34" s="1071"/>
      <c r="L34" s="1068"/>
      <c r="M34" s="1068"/>
      <c r="N34" s="318" t="s">
        <v>209</v>
      </c>
      <c r="O34" s="423">
        <f t="shared" si="16"/>
        <v>225</v>
      </c>
      <c r="P34" s="423">
        <f t="shared" si="18"/>
        <v>235</v>
      </c>
      <c r="Q34" s="177">
        <f t="shared" si="17"/>
        <v>370</v>
      </c>
      <c r="T34" s="707">
        <v>135</v>
      </c>
      <c r="U34" s="707">
        <v>135</v>
      </c>
      <c r="V34" s="707">
        <v>242</v>
      </c>
      <c r="W34" s="703"/>
      <c r="X34" s="704">
        <f t="shared" si="0"/>
        <v>108</v>
      </c>
      <c r="Y34" s="704">
        <f t="shared" si="1"/>
        <v>108</v>
      </c>
      <c r="Z34" s="704">
        <f t="shared" si="2"/>
        <v>193.60000000000002</v>
      </c>
      <c r="AA34" s="711"/>
      <c r="AB34" s="706">
        <f t="shared" si="6"/>
        <v>225</v>
      </c>
      <c r="AC34" s="706">
        <f t="shared" si="7"/>
        <v>235</v>
      </c>
      <c r="AD34" s="706">
        <f t="shared" si="8"/>
        <v>370</v>
      </c>
      <c r="AE34" s="711"/>
      <c r="AF34" s="712"/>
      <c r="AG34" s="712"/>
      <c r="AH34" s="712"/>
      <c r="AI34" s="712"/>
      <c r="AJ34" s="711"/>
      <c r="AK34" s="711"/>
      <c r="AL34" s="711"/>
      <c r="AM34" s="711"/>
      <c r="AN34" s="711"/>
      <c r="AO34" s="711"/>
      <c r="AP34" s="711"/>
    </row>
    <row r="35" spans="3:42" x14ac:dyDescent="0.25">
      <c r="C35" s="80"/>
      <c r="D35" s="149"/>
      <c r="E35" s="149"/>
      <c r="F35" s="149"/>
      <c r="G35" s="149"/>
      <c r="H35" s="149"/>
      <c r="I35" s="80"/>
      <c r="J35" s="321"/>
      <c r="K35" s="322"/>
      <c r="L35" s="322"/>
      <c r="M35" s="322"/>
      <c r="N35" s="323" t="s">
        <v>196</v>
      </c>
      <c r="O35" s="423">
        <f t="shared" si="16"/>
        <v>210</v>
      </c>
      <c r="P35" s="423">
        <f t="shared" si="18"/>
        <v>220</v>
      </c>
      <c r="Q35" s="177">
        <f t="shared" si="17"/>
        <v>355</v>
      </c>
      <c r="T35" s="710">
        <v>125</v>
      </c>
      <c r="U35" s="710">
        <v>125</v>
      </c>
      <c r="V35" s="710">
        <v>230</v>
      </c>
      <c r="W35" s="703"/>
      <c r="X35" s="708">
        <f t="shared" si="0"/>
        <v>100</v>
      </c>
      <c r="Y35" s="708">
        <f t="shared" si="1"/>
        <v>100</v>
      </c>
      <c r="Z35" s="708">
        <f t="shared" si="2"/>
        <v>184</v>
      </c>
      <c r="AA35" s="711"/>
      <c r="AB35" s="709">
        <f t="shared" si="6"/>
        <v>210</v>
      </c>
      <c r="AC35" s="709">
        <f t="shared" si="7"/>
        <v>220</v>
      </c>
      <c r="AD35" s="709">
        <f t="shared" si="8"/>
        <v>355</v>
      </c>
      <c r="AE35" s="711"/>
      <c r="AF35" s="712"/>
      <c r="AG35" s="712"/>
      <c r="AH35" s="712"/>
      <c r="AI35" s="712"/>
      <c r="AJ35" s="711"/>
      <c r="AK35" s="711"/>
      <c r="AL35" s="711"/>
      <c r="AM35" s="711"/>
      <c r="AN35" s="711"/>
      <c r="AO35" s="711"/>
      <c r="AP35" s="711"/>
    </row>
    <row r="36" spans="3:42" x14ac:dyDescent="0.25">
      <c r="C36" s="80"/>
      <c r="D36" s="80"/>
      <c r="E36" s="80"/>
      <c r="F36" s="80"/>
      <c r="G36" s="80"/>
      <c r="H36" s="80"/>
      <c r="I36" s="80"/>
      <c r="J36" s="305"/>
      <c r="K36" s="306"/>
      <c r="L36" s="306"/>
      <c r="M36" s="306"/>
      <c r="N36" s="306" t="s">
        <v>198</v>
      </c>
      <c r="O36" s="688">
        <f t="shared" si="16"/>
        <v>285</v>
      </c>
      <c r="P36" s="688">
        <f t="shared" si="18"/>
        <v>300</v>
      </c>
      <c r="Q36" s="689">
        <f t="shared" si="17"/>
        <v>485</v>
      </c>
      <c r="T36" s="707">
        <v>172</v>
      </c>
      <c r="U36" s="707">
        <v>172</v>
      </c>
      <c r="V36" s="707">
        <v>315</v>
      </c>
      <c r="W36" s="703"/>
      <c r="X36" s="704">
        <f t="shared" si="0"/>
        <v>137.6</v>
      </c>
      <c r="Y36" s="704">
        <f t="shared" si="1"/>
        <v>137.6</v>
      </c>
      <c r="Z36" s="704">
        <f t="shared" si="2"/>
        <v>252</v>
      </c>
      <c r="AA36" s="711"/>
      <c r="AB36" s="706">
        <f t="shared" si="6"/>
        <v>285</v>
      </c>
      <c r="AC36" s="706">
        <f t="shared" si="7"/>
        <v>300</v>
      </c>
      <c r="AD36" s="706">
        <f t="shared" si="8"/>
        <v>485</v>
      </c>
      <c r="AE36" s="711"/>
      <c r="AF36" s="712"/>
      <c r="AG36" s="712"/>
      <c r="AH36" s="712"/>
      <c r="AI36" s="712"/>
      <c r="AJ36" s="711"/>
      <c r="AK36" s="711"/>
      <c r="AL36" s="711"/>
      <c r="AM36" s="711"/>
      <c r="AN36" s="711"/>
      <c r="AO36" s="711"/>
      <c r="AP36" s="711"/>
    </row>
    <row r="37" spans="3:42" x14ac:dyDescent="0.25">
      <c r="C37" t="s">
        <v>6</v>
      </c>
      <c r="D37" s="148">
        <v>0.36509999999999998</v>
      </c>
      <c r="E37" s="148">
        <v>0.51</v>
      </c>
      <c r="F37" s="144"/>
      <c r="G37" s="144"/>
      <c r="H37" s="144"/>
      <c r="I37" s="144"/>
      <c r="J37" s="324" t="str">
        <f>_xlfn.CONCAT(TEXT($D37,"#.000#"),""""," to ",TEXT($E37,"#.000#"),"""")</f>
        <v>.3651" to .510"</v>
      </c>
      <c r="K37" s="1070">
        <v>2</v>
      </c>
      <c r="L37" s="1069">
        <v>1.375</v>
      </c>
      <c r="M37" s="1069">
        <v>0.75</v>
      </c>
      <c r="N37" s="309" t="s">
        <v>197</v>
      </c>
      <c r="O37" s="405">
        <f t="shared" si="16"/>
        <v>240</v>
      </c>
      <c r="P37" s="405">
        <f t="shared" si="18"/>
        <v>255</v>
      </c>
      <c r="Q37" s="161">
        <f t="shared" si="17"/>
        <v>450</v>
      </c>
      <c r="T37" s="707">
        <v>145</v>
      </c>
      <c r="U37" s="707">
        <v>145</v>
      </c>
      <c r="V37" s="707">
        <v>292</v>
      </c>
      <c r="W37" s="703"/>
      <c r="X37" s="704">
        <f t="shared" si="0"/>
        <v>116</v>
      </c>
      <c r="Y37" s="704">
        <f t="shared" si="1"/>
        <v>116</v>
      </c>
      <c r="Z37" s="704">
        <f t="shared" si="2"/>
        <v>233.60000000000002</v>
      </c>
      <c r="AA37" s="711"/>
      <c r="AB37" s="706">
        <f t="shared" si="6"/>
        <v>240</v>
      </c>
      <c r="AC37" s="706">
        <f>MROUND(((Y37/((1-$AD$14)*(1-$Z$14)))*(1+$Z$15)),5)</f>
        <v>255</v>
      </c>
      <c r="AD37" s="706">
        <f t="shared" si="8"/>
        <v>450</v>
      </c>
      <c r="AE37" s="711"/>
      <c r="AF37" s="712"/>
      <c r="AG37" s="712"/>
      <c r="AH37" s="712"/>
      <c r="AI37" s="712"/>
      <c r="AJ37" s="711"/>
      <c r="AK37" s="711"/>
      <c r="AL37" s="711"/>
      <c r="AM37" s="711"/>
      <c r="AN37" s="711"/>
      <c r="AO37" s="711"/>
      <c r="AP37" s="711"/>
    </row>
    <row r="38" spans="3:42" x14ac:dyDescent="0.25">
      <c r="C38" t="s">
        <v>585</v>
      </c>
      <c r="D38" s="149">
        <v>9.270999999999999</v>
      </c>
      <c r="E38" s="149">
        <v>12.95</v>
      </c>
      <c r="F38" s="149"/>
      <c r="G38" s="149"/>
      <c r="H38" s="149"/>
      <c r="I38" s="144"/>
      <c r="J38" s="324" t="str">
        <f>_xlfn.CONCAT(TEXT($D38,"0.00#"),"mm"," to ",TEXT($E38,"0.00#"),"mm")</f>
        <v>9.271mm to 12.95mm</v>
      </c>
      <c r="K38" s="1070"/>
      <c r="L38" s="1069"/>
      <c r="M38" s="1069"/>
      <c r="N38" s="309" t="s">
        <v>209</v>
      </c>
      <c r="O38" s="405">
        <f t="shared" si="16"/>
        <v>225</v>
      </c>
      <c r="P38" s="405">
        <f t="shared" si="18"/>
        <v>235</v>
      </c>
      <c r="Q38" s="161">
        <f t="shared" si="17"/>
        <v>420</v>
      </c>
      <c r="T38" s="707">
        <v>135</v>
      </c>
      <c r="U38" s="707">
        <v>135</v>
      </c>
      <c r="V38" s="707">
        <v>272</v>
      </c>
      <c r="W38" s="703"/>
      <c r="X38" s="704">
        <f t="shared" si="0"/>
        <v>108</v>
      </c>
      <c r="Y38" s="704">
        <f t="shared" si="1"/>
        <v>108</v>
      </c>
      <c r="Z38" s="704">
        <f t="shared" si="2"/>
        <v>217.60000000000002</v>
      </c>
      <c r="AA38" s="711"/>
      <c r="AB38" s="706">
        <f t="shared" si="6"/>
        <v>225</v>
      </c>
      <c r="AC38" s="706">
        <f t="shared" si="7"/>
        <v>235</v>
      </c>
      <c r="AD38" s="706">
        <f t="shared" si="8"/>
        <v>420</v>
      </c>
      <c r="AE38" s="711"/>
      <c r="AF38" s="712"/>
      <c r="AG38" s="712"/>
      <c r="AH38" s="712"/>
      <c r="AI38" s="712"/>
      <c r="AJ38" s="711"/>
      <c r="AK38" s="711"/>
      <c r="AL38" s="711"/>
      <c r="AM38" s="711"/>
      <c r="AN38" s="711"/>
      <c r="AO38" s="711"/>
      <c r="AP38" s="711"/>
    </row>
    <row r="39" spans="3:42" x14ac:dyDescent="0.25">
      <c r="C39" s="80"/>
      <c r="D39" s="80"/>
      <c r="E39" s="80"/>
      <c r="F39" s="80"/>
      <c r="G39" s="80"/>
      <c r="H39" s="80"/>
      <c r="I39" s="80"/>
      <c r="J39" s="310"/>
      <c r="K39" s="311"/>
      <c r="L39" s="311"/>
      <c r="M39" s="311"/>
      <c r="N39" s="312" t="s">
        <v>196</v>
      </c>
      <c r="O39" s="405">
        <f t="shared" si="16"/>
        <v>210</v>
      </c>
      <c r="P39" s="405">
        <f t="shared" si="18"/>
        <v>220</v>
      </c>
      <c r="Q39" s="161">
        <f t="shared" si="17"/>
        <v>395</v>
      </c>
      <c r="T39" s="710">
        <v>125</v>
      </c>
      <c r="U39" s="710">
        <v>125</v>
      </c>
      <c r="V39" s="710">
        <v>258</v>
      </c>
      <c r="W39" s="703"/>
      <c r="X39" s="708">
        <f t="shared" si="0"/>
        <v>100</v>
      </c>
      <c r="Y39" s="708">
        <f t="shared" si="1"/>
        <v>100</v>
      </c>
      <c r="Z39" s="708">
        <f t="shared" si="2"/>
        <v>206.4</v>
      </c>
      <c r="AA39" s="711"/>
      <c r="AB39" s="709">
        <f t="shared" si="6"/>
        <v>210</v>
      </c>
      <c r="AC39" s="709">
        <f t="shared" si="7"/>
        <v>220</v>
      </c>
      <c r="AD39" s="709">
        <f t="shared" si="8"/>
        <v>395</v>
      </c>
      <c r="AE39" s="711"/>
      <c r="AF39" s="712"/>
      <c r="AG39" s="712"/>
      <c r="AH39" s="712"/>
      <c r="AI39" s="712"/>
      <c r="AJ39" s="711"/>
      <c r="AK39" s="711"/>
      <c r="AL39" s="711"/>
      <c r="AM39" s="711"/>
      <c r="AN39" s="711"/>
      <c r="AO39" s="711"/>
      <c r="AP39" s="711"/>
    </row>
    <row r="40" spans="3:42" x14ac:dyDescent="0.25">
      <c r="C40" s="80"/>
      <c r="D40" s="80"/>
      <c r="E40" s="80"/>
      <c r="F40" s="80"/>
      <c r="G40" s="80"/>
      <c r="H40" s="80"/>
      <c r="I40" s="80"/>
      <c r="J40" s="313"/>
      <c r="K40" s="314"/>
      <c r="L40" s="314"/>
      <c r="M40" s="314"/>
      <c r="N40" s="314" t="s">
        <v>198</v>
      </c>
      <c r="O40" s="690">
        <f t="shared" si="16"/>
        <v>295</v>
      </c>
      <c r="P40" s="690">
        <f t="shared" si="18"/>
        <v>310</v>
      </c>
      <c r="Q40" s="691">
        <f t="shared" si="17"/>
        <v>515</v>
      </c>
      <c r="T40" s="707">
        <v>177</v>
      </c>
      <c r="U40" s="707">
        <v>177</v>
      </c>
      <c r="V40" s="707">
        <v>335</v>
      </c>
      <c r="W40" s="703"/>
      <c r="X40" s="704">
        <f t="shared" si="0"/>
        <v>141.6</v>
      </c>
      <c r="Y40" s="704">
        <f t="shared" si="1"/>
        <v>141.6</v>
      </c>
      <c r="Z40" s="704">
        <f t="shared" si="2"/>
        <v>268</v>
      </c>
      <c r="AA40" s="711"/>
      <c r="AB40" s="706">
        <f t="shared" si="6"/>
        <v>295</v>
      </c>
      <c r="AC40" s="706">
        <f t="shared" si="7"/>
        <v>310</v>
      </c>
      <c r="AD40" s="706">
        <f t="shared" si="8"/>
        <v>515</v>
      </c>
      <c r="AE40" s="711"/>
      <c r="AF40" s="712"/>
      <c r="AG40" s="712"/>
      <c r="AH40" s="712"/>
      <c r="AI40" s="712"/>
      <c r="AJ40" s="711"/>
      <c r="AK40" s="711"/>
      <c r="AL40" s="711"/>
      <c r="AM40" s="711"/>
      <c r="AN40" s="711"/>
      <c r="AO40" s="711"/>
      <c r="AP40" s="711"/>
    </row>
    <row r="41" spans="3:42" x14ac:dyDescent="0.25">
      <c r="C41" t="s">
        <v>6</v>
      </c>
      <c r="D41" s="148">
        <v>0.5101</v>
      </c>
      <c r="E41" s="148">
        <v>0.82499999999999996</v>
      </c>
      <c r="F41" s="144"/>
      <c r="G41" s="144"/>
      <c r="H41" s="144"/>
      <c r="I41" s="144"/>
      <c r="J41" s="317" t="str">
        <f>_xlfn.CONCAT(TEXT($D41,"#.000#"),""""," to ",TEXT($E41,"#.000#"),"""")</f>
        <v>.5101" to .825"</v>
      </c>
      <c r="K41" s="1071">
        <v>3</v>
      </c>
      <c r="L41" s="1068">
        <v>1.75</v>
      </c>
      <c r="M41" s="1068">
        <v>0.9375</v>
      </c>
      <c r="N41" s="318" t="s">
        <v>197</v>
      </c>
      <c r="O41" s="423">
        <f t="shared" si="16"/>
        <v>260</v>
      </c>
      <c r="P41" s="423">
        <f t="shared" si="18"/>
        <v>270</v>
      </c>
      <c r="Q41" s="177">
        <f t="shared" si="17"/>
        <v>480</v>
      </c>
      <c r="T41" s="707">
        <v>155</v>
      </c>
      <c r="U41" s="707">
        <v>155</v>
      </c>
      <c r="V41" s="707">
        <v>312</v>
      </c>
      <c r="W41" s="703"/>
      <c r="X41" s="704">
        <f t="shared" si="0"/>
        <v>124</v>
      </c>
      <c r="Y41" s="704">
        <f t="shared" si="1"/>
        <v>124</v>
      </c>
      <c r="Z41" s="704">
        <f t="shared" si="2"/>
        <v>249.60000000000002</v>
      </c>
      <c r="AA41" s="711"/>
      <c r="AB41" s="706">
        <f t="shared" si="6"/>
        <v>260</v>
      </c>
      <c r="AC41" s="706">
        <f t="shared" si="7"/>
        <v>270</v>
      </c>
      <c r="AD41" s="706">
        <f t="shared" si="8"/>
        <v>480</v>
      </c>
      <c r="AE41" s="711"/>
      <c r="AF41" s="712"/>
      <c r="AG41" s="712"/>
      <c r="AH41" s="712"/>
      <c r="AI41" s="712"/>
      <c r="AJ41" s="711"/>
      <c r="AK41" s="711"/>
      <c r="AL41" s="711"/>
      <c r="AM41" s="711"/>
      <c r="AN41" s="711"/>
      <c r="AO41" s="711"/>
      <c r="AP41" s="711"/>
    </row>
    <row r="42" spans="3:42" x14ac:dyDescent="0.25">
      <c r="C42" t="s">
        <v>585</v>
      </c>
      <c r="D42" s="149">
        <v>12.950999999999999</v>
      </c>
      <c r="E42" s="149">
        <v>20.96</v>
      </c>
      <c r="F42" s="149"/>
      <c r="G42" s="149"/>
      <c r="H42" s="149"/>
      <c r="I42" s="144"/>
      <c r="J42" s="325" t="str">
        <f>_xlfn.CONCAT(TEXT($D42,"0.00#"),"mm"," to ",TEXT($E42,"0.00#"),"mm")</f>
        <v>12.951mm to 20.96mm</v>
      </c>
      <c r="K42" s="1071"/>
      <c r="L42" s="1068"/>
      <c r="M42" s="1068"/>
      <c r="N42" s="318" t="s">
        <v>209</v>
      </c>
      <c r="O42" s="423">
        <f t="shared" si="16"/>
        <v>235</v>
      </c>
      <c r="P42" s="423">
        <f t="shared" si="18"/>
        <v>250</v>
      </c>
      <c r="Q42" s="177">
        <f t="shared" si="17"/>
        <v>470</v>
      </c>
      <c r="T42" s="707">
        <v>142</v>
      </c>
      <c r="U42" s="707">
        <v>142</v>
      </c>
      <c r="V42" s="707">
        <v>305</v>
      </c>
      <c r="W42" s="703"/>
      <c r="X42" s="704">
        <f t="shared" si="0"/>
        <v>113.60000000000001</v>
      </c>
      <c r="Y42" s="704">
        <f t="shared" si="1"/>
        <v>113.60000000000001</v>
      </c>
      <c r="Z42" s="704">
        <f t="shared" si="2"/>
        <v>244</v>
      </c>
      <c r="AA42" s="711"/>
      <c r="AB42" s="706">
        <f t="shared" si="6"/>
        <v>235</v>
      </c>
      <c r="AC42" s="706">
        <f t="shared" si="7"/>
        <v>250</v>
      </c>
      <c r="AD42" s="706">
        <f t="shared" si="8"/>
        <v>470</v>
      </c>
      <c r="AE42" s="711"/>
      <c r="AF42" s="712"/>
      <c r="AG42" s="712"/>
      <c r="AH42" s="712"/>
      <c r="AI42" s="712"/>
      <c r="AJ42" s="711"/>
      <c r="AK42" s="711"/>
      <c r="AL42" s="711"/>
      <c r="AM42" s="711"/>
      <c r="AN42" s="711"/>
      <c r="AO42" s="711"/>
      <c r="AP42" s="711"/>
    </row>
    <row r="43" spans="3:42" x14ac:dyDescent="0.25">
      <c r="C43" s="80"/>
      <c r="D43" s="80"/>
      <c r="E43" s="80"/>
      <c r="F43" s="80"/>
      <c r="G43" s="80"/>
      <c r="H43" s="80"/>
      <c r="I43" s="80"/>
      <c r="J43" s="321"/>
      <c r="K43" s="322"/>
      <c r="L43" s="322"/>
      <c r="M43" s="322"/>
      <c r="N43" s="323" t="s">
        <v>196</v>
      </c>
      <c r="O43" s="423">
        <f t="shared" si="16"/>
        <v>215</v>
      </c>
      <c r="P43" s="423">
        <f t="shared" si="18"/>
        <v>230</v>
      </c>
      <c r="Q43" s="177">
        <f t="shared" si="17"/>
        <v>455</v>
      </c>
      <c r="T43" s="710">
        <v>130</v>
      </c>
      <c r="U43" s="710">
        <v>130</v>
      </c>
      <c r="V43" s="710">
        <v>295</v>
      </c>
      <c r="W43" s="703"/>
      <c r="X43" s="708">
        <f t="shared" si="0"/>
        <v>104</v>
      </c>
      <c r="Y43" s="708">
        <f t="shared" si="1"/>
        <v>104</v>
      </c>
      <c r="Z43" s="708">
        <f t="shared" si="2"/>
        <v>236</v>
      </c>
      <c r="AA43" s="711"/>
      <c r="AB43" s="709">
        <f t="shared" si="6"/>
        <v>215</v>
      </c>
      <c r="AC43" s="709">
        <f t="shared" si="7"/>
        <v>230</v>
      </c>
      <c r="AD43" s="709">
        <f t="shared" si="8"/>
        <v>455</v>
      </c>
      <c r="AE43" s="711"/>
      <c r="AF43" s="712"/>
      <c r="AG43" s="712"/>
      <c r="AH43" s="712"/>
      <c r="AI43" s="712"/>
      <c r="AJ43" s="711"/>
      <c r="AK43" s="711"/>
      <c r="AL43" s="711"/>
      <c r="AM43" s="711"/>
      <c r="AN43" s="711"/>
      <c r="AO43" s="711"/>
      <c r="AP43" s="711"/>
    </row>
    <row r="44" spans="3:42" x14ac:dyDescent="0.25">
      <c r="C44" s="80"/>
      <c r="D44" s="80"/>
      <c r="E44" s="80"/>
      <c r="F44" s="80"/>
      <c r="G44" s="80"/>
      <c r="H44" s="80"/>
      <c r="I44" s="80"/>
      <c r="J44" s="305"/>
      <c r="K44" s="306"/>
      <c r="L44" s="306"/>
      <c r="M44" s="306"/>
      <c r="N44" s="306" t="s">
        <v>198</v>
      </c>
      <c r="O44" s="688">
        <f t="shared" si="16"/>
        <v>300</v>
      </c>
      <c r="P44" s="688">
        <f t="shared" si="18"/>
        <v>315</v>
      </c>
      <c r="Q44" s="689">
        <f t="shared" si="17"/>
        <v>770</v>
      </c>
      <c r="T44" s="707">
        <v>179</v>
      </c>
      <c r="U44" s="707">
        <v>179</v>
      </c>
      <c r="V44" s="707">
        <v>500</v>
      </c>
      <c r="W44" s="703"/>
      <c r="X44" s="704">
        <f t="shared" si="0"/>
        <v>143.20000000000002</v>
      </c>
      <c r="Y44" s="704">
        <f t="shared" si="1"/>
        <v>143.20000000000002</v>
      </c>
      <c r="Z44" s="704">
        <f t="shared" si="2"/>
        <v>400</v>
      </c>
      <c r="AA44" s="711"/>
      <c r="AB44" s="706">
        <f t="shared" si="6"/>
        <v>300</v>
      </c>
      <c r="AC44" s="706">
        <f t="shared" si="7"/>
        <v>315</v>
      </c>
      <c r="AD44" s="706">
        <f t="shared" si="8"/>
        <v>770</v>
      </c>
      <c r="AE44" s="711"/>
      <c r="AF44" s="712"/>
      <c r="AG44" s="712"/>
      <c r="AH44" s="712"/>
      <c r="AI44" s="712"/>
      <c r="AJ44" s="711"/>
      <c r="AK44" s="711"/>
      <c r="AL44" s="711"/>
      <c r="AM44" s="711"/>
      <c r="AN44" s="711"/>
      <c r="AO44" s="711"/>
      <c r="AP44" s="711"/>
    </row>
    <row r="45" spans="3:42" x14ac:dyDescent="0.25">
      <c r="C45" t="s">
        <v>6</v>
      </c>
      <c r="D45" s="148">
        <v>0.82509999999999994</v>
      </c>
      <c r="E45" s="148">
        <v>1.135</v>
      </c>
      <c r="F45" s="144"/>
      <c r="G45" s="144"/>
      <c r="H45" s="144"/>
      <c r="I45" s="144"/>
      <c r="J45" s="324" t="str">
        <f>_xlfn.CONCAT(TEXT($D45,"#.000#"),""""," to ",TEXT($E45,"#.000#"),"""")</f>
        <v>.8251" to 1.135"</v>
      </c>
      <c r="K45" s="1070">
        <v>4</v>
      </c>
      <c r="L45" s="1069">
        <v>2.125</v>
      </c>
      <c r="M45" s="1069">
        <v>1.125</v>
      </c>
      <c r="N45" s="309" t="s">
        <v>197</v>
      </c>
      <c r="O45" s="405">
        <f t="shared" si="16"/>
        <v>265</v>
      </c>
      <c r="P45" s="405">
        <f t="shared" si="18"/>
        <v>280</v>
      </c>
      <c r="Q45" s="161">
        <f t="shared" si="17"/>
        <v>700</v>
      </c>
      <c r="T45" s="707">
        <v>159</v>
      </c>
      <c r="U45" s="707">
        <v>159</v>
      </c>
      <c r="V45" s="707">
        <v>455</v>
      </c>
      <c r="W45" s="703"/>
      <c r="X45" s="704">
        <f t="shared" si="0"/>
        <v>127.2</v>
      </c>
      <c r="Y45" s="704">
        <f t="shared" si="1"/>
        <v>127.2</v>
      </c>
      <c r="Z45" s="704">
        <f t="shared" si="2"/>
        <v>364</v>
      </c>
      <c r="AA45" s="711"/>
      <c r="AB45" s="706">
        <f t="shared" si="6"/>
        <v>265</v>
      </c>
      <c r="AC45" s="706">
        <f t="shared" si="7"/>
        <v>280</v>
      </c>
      <c r="AD45" s="706">
        <f t="shared" si="8"/>
        <v>700</v>
      </c>
      <c r="AE45" s="711"/>
      <c r="AF45" s="712"/>
      <c r="AG45" s="712"/>
      <c r="AH45" s="712"/>
      <c r="AI45" s="712"/>
      <c r="AJ45" s="711"/>
      <c r="AK45" s="711"/>
      <c r="AL45" s="711"/>
      <c r="AM45" s="711"/>
      <c r="AN45" s="711"/>
      <c r="AO45" s="711"/>
      <c r="AP45" s="711"/>
    </row>
    <row r="46" spans="3:42" x14ac:dyDescent="0.25">
      <c r="C46" t="s">
        <v>585</v>
      </c>
      <c r="D46" s="149">
        <v>20.961000000000002</v>
      </c>
      <c r="E46" s="149">
        <v>28.83</v>
      </c>
      <c r="F46" s="149"/>
      <c r="G46" s="149"/>
      <c r="H46" s="149"/>
      <c r="I46" s="144"/>
      <c r="J46" s="324" t="str">
        <f>_xlfn.CONCAT(TEXT($D46,"0.00#"),"mm"," to ",TEXT($E46,"0.00#"),"mm")</f>
        <v>20.961mm to 28.83mm</v>
      </c>
      <c r="K46" s="1070"/>
      <c r="L46" s="1069"/>
      <c r="M46" s="1069"/>
      <c r="N46" s="309" t="s">
        <v>209</v>
      </c>
      <c r="O46" s="405">
        <f t="shared" si="16"/>
        <v>240</v>
      </c>
      <c r="P46" s="405">
        <f t="shared" si="18"/>
        <v>250</v>
      </c>
      <c r="Q46" s="161">
        <f t="shared" si="17"/>
        <v>680</v>
      </c>
      <c r="T46" s="707">
        <v>144</v>
      </c>
      <c r="U46" s="707">
        <v>144</v>
      </c>
      <c r="V46" s="707">
        <v>443</v>
      </c>
      <c r="W46" s="703"/>
      <c r="X46" s="704">
        <f t="shared" si="0"/>
        <v>115.2</v>
      </c>
      <c r="Y46" s="704">
        <f t="shared" si="1"/>
        <v>115.2</v>
      </c>
      <c r="Z46" s="704">
        <f t="shared" si="2"/>
        <v>354.40000000000003</v>
      </c>
      <c r="AA46" s="711"/>
      <c r="AB46" s="706">
        <f t="shared" si="6"/>
        <v>240</v>
      </c>
      <c r="AC46" s="706">
        <f t="shared" si="7"/>
        <v>250</v>
      </c>
      <c r="AD46" s="706">
        <f t="shared" si="8"/>
        <v>680</v>
      </c>
      <c r="AE46" s="711"/>
      <c r="AF46" s="712"/>
      <c r="AG46" s="712"/>
      <c r="AH46" s="712"/>
      <c r="AI46" s="712"/>
      <c r="AJ46" s="711"/>
      <c r="AK46" s="711"/>
      <c r="AL46" s="711"/>
      <c r="AM46" s="711"/>
      <c r="AN46" s="711"/>
      <c r="AO46" s="711"/>
      <c r="AP46" s="711"/>
    </row>
    <row r="47" spans="3:42" x14ac:dyDescent="0.25">
      <c r="C47" s="80"/>
      <c r="D47" s="80"/>
      <c r="E47" s="80"/>
      <c r="F47" s="80"/>
      <c r="G47" s="80"/>
      <c r="H47" s="80"/>
      <c r="I47" s="80"/>
      <c r="J47" s="310"/>
      <c r="K47" s="311"/>
      <c r="L47" s="311"/>
      <c r="M47" s="311"/>
      <c r="N47" s="312" t="s">
        <v>196</v>
      </c>
      <c r="O47" s="405">
        <f t="shared" si="16"/>
        <v>225</v>
      </c>
      <c r="P47" s="405">
        <f t="shared" si="18"/>
        <v>235</v>
      </c>
      <c r="Q47" s="161">
        <f t="shared" si="17"/>
        <v>670</v>
      </c>
      <c r="T47" s="710">
        <v>134</v>
      </c>
      <c r="U47" s="710">
        <v>134</v>
      </c>
      <c r="V47" s="710">
        <v>437</v>
      </c>
      <c r="W47" s="703"/>
      <c r="X47" s="708">
        <f t="shared" si="0"/>
        <v>107.2</v>
      </c>
      <c r="Y47" s="708">
        <f t="shared" si="1"/>
        <v>107.2</v>
      </c>
      <c r="Z47" s="708">
        <f t="shared" si="2"/>
        <v>349.6</v>
      </c>
      <c r="AA47" s="711"/>
      <c r="AB47" s="709">
        <f t="shared" si="6"/>
        <v>225</v>
      </c>
      <c r="AC47" s="709">
        <f t="shared" si="7"/>
        <v>235</v>
      </c>
      <c r="AD47" s="709">
        <f t="shared" si="8"/>
        <v>670</v>
      </c>
      <c r="AE47" s="711"/>
      <c r="AF47" s="712"/>
      <c r="AG47" s="712"/>
      <c r="AH47" s="712"/>
      <c r="AI47" s="712"/>
      <c r="AJ47" s="711"/>
      <c r="AK47" s="711"/>
      <c r="AL47" s="711"/>
      <c r="AM47" s="711"/>
      <c r="AN47" s="711"/>
      <c r="AO47" s="711"/>
      <c r="AP47" s="711"/>
    </row>
    <row r="48" spans="3:42" x14ac:dyDescent="0.25">
      <c r="C48" s="80"/>
      <c r="D48" s="80"/>
      <c r="E48" s="80"/>
      <c r="F48" s="80"/>
      <c r="G48" s="80"/>
      <c r="H48" s="80"/>
      <c r="I48" s="80"/>
      <c r="J48" s="313"/>
      <c r="K48" s="314"/>
      <c r="L48" s="314"/>
      <c r="M48" s="314"/>
      <c r="N48" s="314" t="s">
        <v>198</v>
      </c>
      <c r="O48" s="690">
        <f t="shared" si="16"/>
        <v>345</v>
      </c>
      <c r="P48" s="690">
        <f t="shared" si="18"/>
        <v>365</v>
      </c>
      <c r="Q48" s="691">
        <f t="shared" si="17"/>
        <v>955</v>
      </c>
      <c r="T48" s="707">
        <v>208</v>
      </c>
      <c r="U48" s="707">
        <v>208</v>
      </c>
      <c r="V48" s="713">
        <v>620</v>
      </c>
      <c r="W48" s="703"/>
      <c r="X48" s="704">
        <f t="shared" si="0"/>
        <v>166.4</v>
      </c>
      <c r="Y48" s="704">
        <f t="shared" si="1"/>
        <v>166.4</v>
      </c>
      <c r="Z48" s="704">
        <f t="shared" si="2"/>
        <v>496</v>
      </c>
      <c r="AA48" s="711"/>
      <c r="AB48" s="706">
        <f t="shared" si="6"/>
        <v>345</v>
      </c>
      <c r="AC48" s="706">
        <f t="shared" si="7"/>
        <v>365</v>
      </c>
      <c r="AD48" s="706">
        <f t="shared" si="8"/>
        <v>955</v>
      </c>
      <c r="AE48" s="711"/>
      <c r="AF48" s="712"/>
      <c r="AG48" s="712"/>
      <c r="AH48" s="712"/>
      <c r="AI48" s="712"/>
      <c r="AJ48" s="711"/>
      <c r="AK48" s="711"/>
      <c r="AL48" s="711"/>
      <c r="AM48" s="711"/>
      <c r="AN48" s="711"/>
      <c r="AO48" s="711"/>
      <c r="AP48" s="711"/>
    </row>
    <row r="49" spans="1:42" x14ac:dyDescent="0.25">
      <c r="C49" t="s">
        <v>6</v>
      </c>
      <c r="D49" s="148">
        <v>1.1351</v>
      </c>
      <c r="E49" s="148">
        <v>1.51</v>
      </c>
      <c r="F49" s="144"/>
      <c r="G49" s="144"/>
      <c r="H49" s="144"/>
      <c r="I49" s="144"/>
      <c r="J49" s="317" t="str">
        <f>_xlfn.CONCAT(TEXT($D49,"#.000#"),""""," to ",TEXT($E49,"#.000#"),"""")</f>
        <v>1.1351" to 1.510"</v>
      </c>
      <c r="K49" s="1071">
        <v>5</v>
      </c>
      <c r="L49" s="1068">
        <v>2.5</v>
      </c>
      <c r="M49" s="1068">
        <v>1.3125</v>
      </c>
      <c r="N49" s="318" t="s">
        <v>197</v>
      </c>
      <c r="O49" s="423">
        <f t="shared" si="16"/>
        <v>295</v>
      </c>
      <c r="P49" s="423">
        <f t="shared" si="18"/>
        <v>310</v>
      </c>
      <c r="Q49" s="177">
        <f t="shared" si="17"/>
        <v>890</v>
      </c>
      <c r="T49" s="707">
        <v>178</v>
      </c>
      <c r="U49" s="707">
        <v>178</v>
      </c>
      <c r="V49" s="713">
        <v>578</v>
      </c>
      <c r="W49" s="703"/>
      <c r="X49" s="704">
        <f t="shared" si="0"/>
        <v>142.4</v>
      </c>
      <c r="Y49" s="704">
        <f t="shared" si="1"/>
        <v>142.4</v>
      </c>
      <c r="Z49" s="704">
        <f t="shared" si="2"/>
        <v>462.40000000000003</v>
      </c>
      <c r="AA49" s="711"/>
      <c r="AB49" s="706">
        <f t="shared" si="6"/>
        <v>295</v>
      </c>
      <c r="AC49" s="706">
        <f t="shared" si="7"/>
        <v>310</v>
      </c>
      <c r="AD49" s="706">
        <f>MROUND((Z49/((1-$AD$15)*(1-$Z$14))),5)</f>
        <v>890</v>
      </c>
      <c r="AE49" s="711"/>
      <c r="AF49" s="712"/>
      <c r="AG49" s="712"/>
      <c r="AH49" s="712"/>
      <c r="AI49" s="712"/>
      <c r="AJ49" s="711"/>
      <c r="AK49" s="711"/>
      <c r="AL49" s="711"/>
      <c r="AM49" s="711"/>
      <c r="AN49" s="711"/>
      <c r="AO49" s="711"/>
      <c r="AP49" s="711"/>
    </row>
    <row r="50" spans="1:42" x14ac:dyDescent="0.25">
      <c r="C50" t="s">
        <v>585</v>
      </c>
      <c r="D50" s="149">
        <v>28.831</v>
      </c>
      <c r="E50" s="149">
        <v>38.35</v>
      </c>
      <c r="F50" s="149"/>
      <c r="G50" s="149"/>
      <c r="H50" s="149"/>
      <c r="I50" s="144"/>
      <c r="J50" s="317" t="str">
        <f>_xlfn.CONCAT(TEXT($D50,"0.00#"),"mm"," to ",TEXT($E50,"0.00#"),"mm")</f>
        <v>28.831mm to 38.35mm</v>
      </c>
      <c r="K50" s="1071"/>
      <c r="L50" s="1068"/>
      <c r="M50" s="1068"/>
      <c r="N50" s="318" t="s">
        <v>209</v>
      </c>
      <c r="O50" s="423">
        <f t="shared" si="16"/>
        <v>275</v>
      </c>
      <c r="P50" s="423">
        <f t="shared" si="18"/>
        <v>290</v>
      </c>
      <c r="Q50" s="177">
        <f t="shared" si="17"/>
        <v>830</v>
      </c>
      <c r="T50" s="707">
        <v>165</v>
      </c>
      <c r="U50" s="707">
        <v>165</v>
      </c>
      <c r="V50" s="713">
        <v>541</v>
      </c>
      <c r="W50" s="703"/>
      <c r="X50" s="704">
        <f t="shared" si="0"/>
        <v>132</v>
      </c>
      <c r="Y50" s="704">
        <f t="shared" si="1"/>
        <v>132</v>
      </c>
      <c r="Z50" s="704">
        <f t="shared" si="2"/>
        <v>432.8</v>
      </c>
      <c r="AA50" s="711"/>
      <c r="AB50" s="706">
        <f t="shared" si="6"/>
        <v>275</v>
      </c>
      <c r="AC50" s="706">
        <f t="shared" si="7"/>
        <v>290</v>
      </c>
      <c r="AD50" s="706">
        <f t="shared" si="8"/>
        <v>830</v>
      </c>
      <c r="AE50" s="711"/>
      <c r="AF50" s="712"/>
      <c r="AG50" s="712"/>
      <c r="AH50" s="707"/>
      <c r="AI50" s="712"/>
      <c r="AJ50" s="711"/>
      <c r="AK50" s="711"/>
      <c r="AL50" s="711"/>
      <c r="AM50" s="711"/>
      <c r="AN50" s="711"/>
      <c r="AO50" s="711"/>
      <c r="AP50" s="711"/>
    </row>
    <row r="51" spans="1:42" x14ac:dyDescent="0.25">
      <c r="C51" s="80"/>
      <c r="D51" s="80"/>
      <c r="E51" s="80"/>
      <c r="F51" s="80"/>
      <c r="G51" s="80"/>
      <c r="H51" s="80"/>
      <c r="I51" s="80"/>
      <c r="J51" s="321"/>
      <c r="K51" s="322"/>
      <c r="L51" s="322"/>
      <c r="M51" s="322"/>
      <c r="N51" s="323" t="s">
        <v>196</v>
      </c>
      <c r="O51" s="423">
        <f t="shared" si="16"/>
        <v>255</v>
      </c>
      <c r="P51" s="423">
        <f t="shared" si="18"/>
        <v>270</v>
      </c>
      <c r="Q51" s="177">
        <f t="shared" si="17"/>
        <v>800</v>
      </c>
      <c r="T51" s="710">
        <v>153</v>
      </c>
      <c r="U51" s="710">
        <v>153</v>
      </c>
      <c r="V51" s="714">
        <v>518.5</v>
      </c>
      <c r="W51" s="703"/>
      <c r="X51" s="708">
        <f t="shared" si="0"/>
        <v>122.4</v>
      </c>
      <c r="Y51" s="708">
        <f t="shared" si="1"/>
        <v>122.4</v>
      </c>
      <c r="Z51" s="708">
        <f t="shared" si="2"/>
        <v>414.8</v>
      </c>
      <c r="AA51" s="711"/>
      <c r="AB51" s="709">
        <f t="shared" si="6"/>
        <v>255</v>
      </c>
      <c r="AC51" s="709">
        <f t="shared" si="7"/>
        <v>270</v>
      </c>
      <c r="AD51" s="709">
        <f t="shared" si="8"/>
        <v>800</v>
      </c>
      <c r="AE51" s="711"/>
      <c r="AF51"/>
      <c r="AG51"/>
      <c r="AH51"/>
      <c r="AI51"/>
    </row>
    <row r="52" spans="1:42" x14ac:dyDescent="0.25">
      <c r="C52" s="80"/>
      <c r="D52" s="80"/>
      <c r="E52" s="80"/>
      <c r="F52" s="80"/>
      <c r="G52" s="80"/>
      <c r="H52" s="80"/>
      <c r="I52" s="80"/>
      <c r="J52" s="305"/>
      <c r="K52" s="306"/>
      <c r="L52" s="306"/>
      <c r="M52" s="306"/>
      <c r="N52" s="306" t="s">
        <v>198</v>
      </c>
      <c r="O52" s="688">
        <f t="shared" si="16"/>
        <v>425</v>
      </c>
      <c r="P52" s="688">
        <f t="shared" si="18"/>
        <v>445</v>
      </c>
      <c r="Q52" s="307">
        <v>0</v>
      </c>
      <c r="T52" s="707">
        <v>254</v>
      </c>
      <c r="U52" s="707">
        <v>254</v>
      </c>
      <c r="V52" s="703">
        <v>0</v>
      </c>
      <c r="W52" s="703"/>
      <c r="X52" s="704">
        <f t="shared" ref="X52:X71" si="19">(1-$Z$13)*T52</f>
        <v>203.20000000000002</v>
      </c>
      <c r="Y52" s="704">
        <f t="shared" ref="Y52:Y71" si="20">(1-$Z$13)*U52</f>
        <v>203.20000000000002</v>
      </c>
      <c r="Z52" s="704">
        <f t="shared" ref="Z52:Z71" si="21">(1-$Z$13)*V52</f>
        <v>0</v>
      </c>
      <c r="AA52" s="711"/>
      <c r="AB52" s="706">
        <f t="shared" si="6"/>
        <v>425</v>
      </c>
      <c r="AC52" s="706">
        <f t="shared" si="7"/>
        <v>445</v>
      </c>
      <c r="AD52" s="706">
        <f t="shared" si="8"/>
        <v>0</v>
      </c>
      <c r="AE52" s="711"/>
      <c r="AF52"/>
      <c r="AG52"/>
      <c r="AH52"/>
      <c r="AI52"/>
    </row>
    <row r="53" spans="1:42" x14ac:dyDescent="0.25">
      <c r="C53" t="s">
        <v>6</v>
      </c>
      <c r="D53" s="148">
        <v>1.5101</v>
      </c>
      <c r="E53" s="148">
        <v>2.0099999999999998</v>
      </c>
      <c r="F53" s="144"/>
      <c r="G53" s="144"/>
      <c r="H53" s="144"/>
      <c r="I53" s="144"/>
      <c r="J53" s="324" t="str">
        <f>_xlfn.CONCAT(TEXT($D53,"#.000#"),""""," to ",TEXT($E53,"#.000#"),"""")</f>
        <v>1.5101" to 2.010"</v>
      </c>
      <c r="K53" s="1070">
        <v>6</v>
      </c>
      <c r="L53" s="1069">
        <v>4</v>
      </c>
      <c r="M53" s="1069">
        <v>0.5</v>
      </c>
      <c r="N53" s="309" t="s">
        <v>197</v>
      </c>
      <c r="O53" s="405">
        <f t="shared" si="16"/>
        <v>375</v>
      </c>
      <c r="P53" s="405">
        <f t="shared" si="18"/>
        <v>390</v>
      </c>
      <c r="Q53" s="161">
        <v>0</v>
      </c>
      <c r="T53" s="707">
        <v>224</v>
      </c>
      <c r="U53" s="707">
        <v>224</v>
      </c>
      <c r="V53" s="703">
        <v>0</v>
      </c>
      <c r="W53" s="703"/>
      <c r="X53" s="704">
        <f t="shared" si="19"/>
        <v>179.20000000000002</v>
      </c>
      <c r="Y53" s="704">
        <f t="shared" si="20"/>
        <v>179.20000000000002</v>
      </c>
      <c r="Z53" s="704">
        <f t="shared" si="21"/>
        <v>0</v>
      </c>
      <c r="AA53" s="711"/>
      <c r="AB53" s="706">
        <f t="shared" si="6"/>
        <v>375</v>
      </c>
      <c r="AC53" s="706">
        <f t="shared" si="7"/>
        <v>390</v>
      </c>
      <c r="AD53" s="706">
        <f t="shared" si="8"/>
        <v>0</v>
      </c>
      <c r="AE53" s="711"/>
      <c r="AF53"/>
      <c r="AG53"/>
      <c r="AH53"/>
      <c r="AI53"/>
    </row>
    <row r="54" spans="1:42" x14ac:dyDescent="0.25">
      <c r="C54" t="s">
        <v>585</v>
      </c>
      <c r="D54" s="149">
        <v>38.350999999999999</v>
      </c>
      <c r="E54" s="149">
        <v>51.05</v>
      </c>
      <c r="F54" s="149"/>
      <c r="G54" s="149"/>
      <c r="H54" s="149"/>
      <c r="I54" s="144"/>
      <c r="J54" s="324" t="str">
        <f>_xlfn.CONCAT(TEXT($D54,"0.00#"),"mm"," to ",TEXT($E54,"0.00#"),"mm")</f>
        <v>38.351mm to 51.05mm</v>
      </c>
      <c r="K54" s="1070"/>
      <c r="L54" s="1069"/>
      <c r="M54" s="1069"/>
      <c r="N54" s="309" t="s">
        <v>209</v>
      </c>
      <c r="O54" s="405">
        <f t="shared" si="16"/>
        <v>340</v>
      </c>
      <c r="P54" s="405">
        <f t="shared" si="18"/>
        <v>360</v>
      </c>
      <c r="Q54" s="161">
        <v>0</v>
      </c>
      <c r="T54" s="707">
        <v>205</v>
      </c>
      <c r="U54" s="707">
        <v>205</v>
      </c>
      <c r="V54" s="703">
        <v>0</v>
      </c>
      <c r="W54" s="703"/>
      <c r="X54" s="704">
        <f t="shared" si="19"/>
        <v>164</v>
      </c>
      <c r="Y54" s="704">
        <f t="shared" si="20"/>
        <v>164</v>
      </c>
      <c r="Z54" s="704">
        <f t="shared" si="21"/>
        <v>0</v>
      </c>
      <c r="AA54" s="711"/>
      <c r="AB54" s="706">
        <f t="shared" si="6"/>
        <v>340</v>
      </c>
      <c r="AC54" s="706">
        <f t="shared" si="7"/>
        <v>360</v>
      </c>
      <c r="AD54" s="706">
        <f t="shared" si="8"/>
        <v>0</v>
      </c>
      <c r="AE54" s="711"/>
      <c r="AF54"/>
      <c r="AG54"/>
      <c r="AH54"/>
      <c r="AI54"/>
    </row>
    <row r="55" spans="1:42" x14ac:dyDescent="0.25">
      <c r="A55" s="50"/>
      <c r="B55" s="50"/>
      <c r="C55" s="80"/>
      <c r="D55" s="80"/>
      <c r="E55" s="80"/>
      <c r="F55" s="80"/>
      <c r="G55" s="80"/>
      <c r="H55" s="80"/>
      <c r="I55" s="80"/>
      <c r="J55" s="310"/>
      <c r="K55" s="311"/>
      <c r="L55" s="311"/>
      <c r="M55" s="311"/>
      <c r="N55" s="312" t="s">
        <v>196</v>
      </c>
      <c r="O55" s="405">
        <f t="shared" si="16"/>
        <v>320</v>
      </c>
      <c r="P55" s="405">
        <f t="shared" si="18"/>
        <v>340</v>
      </c>
      <c r="Q55" s="161">
        <v>0</v>
      </c>
      <c r="T55" s="710">
        <v>193</v>
      </c>
      <c r="U55" s="710">
        <v>193</v>
      </c>
      <c r="V55" s="710">
        <v>0</v>
      </c>
      <c r="W55" s="703"/>
      <c r="X55" s="708">
        <f t="shared" si="19"/>
        <v>154.4</v>
      </c>
      <c r="Y55" s="708">
        <f t="shared" si="20"/>
        <v>154.4</v>
      </c>
      <c r="Z55" s="708">
        <f t="shared" si="21"/>
        <v>0</v>
      </c>
      <c r="AA55" s="711"/>
      <c r="AB55" s="709">
        <f t="shared" si="6"/>
        <v>320</v>
      </c>
      <c r="AC55" s="709">
        <f t="shared" si="7"/>
        <v>340</v>
      </c>
      <c r="AD55" s="709">
        <f t="shared" si="8"/>
        <v>0</v>
      </c>
      <c r="AE55" s="711"/>
      <c r="AF55"/>
      <c r="AG55"/>
      <c r="AH55"/>
      <c r="AI55"/>
    </row>
    <row r="56" spans="1:42" x14ac:dyDescent="0.25">
      <c r="C56" s="80"/>
      <c r="D56" s="80"/>
      <c r="E56" s="80"/>
      <c r="F56" s="80"/>
      <c r="G56" s="80"/>
      <c r="H56" s="80"/>
      <c r="I56" s="80"/>
      <c r="J56" s="313"/>
      <c r="K56" s="314"/>
      <c r="L56" s="314"/>
      <c r="M56" s="314"/>
      <c r="N56" s="314" t="s">
        <v>198</v>
      </c>
      <c r="O56" s="690">
        <f t="shared" si="16"/>
        <v>540</v>
      </c>
      <c r="P56" s="690">
        <f t="shared" si="18"/>
        <v>570</v>
      </c>
      <c r="Q56" s="316">
        <v>0</v>
      </c>
      <c r="T56" s="707">
        <v>325</v>
      </c>
      <c r="U56" s="707">
        <v>325</v>
      </c>
      <c r="V56" s="703">
        <v>0</v>
      </c>
      <c r="W56" s="703"/>
      <c r="X56" s="704">
        <f t="shared" si="19"/>
        <v>260</v>
      </c>
      <c r="Y56" s="704">
        <f t="shared" si="20"/>
        <v>260</v>
      </c>
      <c r="Z56" s="704">
        <f t="shared" si="21"/>
        <v>0</v>
      </c>
      <c r="AA56" s="711"/>
      <c r="AB56" s="706">
        <f t="shared" si="6"/>
        <v>540</v>
      </c>
      <c r="AC56" s="706">
        <f t="shared" si="7"/>
        <v>570</v>
      </c>
      <c r="AD56" s="706">
        <f t="shared" si="8"/>
        <v>0</v>
      </c>
      <c r="AE56" s="711"/>
      <c r="AF56"/>
      <c r="AG56"/>
      <c r="AH56"/>
      <c r="AI56"/>
    </row>
    <row r="57" spans="1:42" x14ac:dyDescent="0.25">
      <c r="C57" t="s">
        <v>6</v>
      </c>
      <c r="D57" s="148">
        <f>E53+0.0001</f>
        <v>2.0101</v>
      </c>
      <c r="E57" s="148">
        <v>2.5099999999999998</v>
      </c>
      <c r="F57" s="144"/>
      <c r="G57" s="144"/>
      <c r="H57" s="144"/>
      <c r="I57" s="144"/>
      <c r="J57" s="317" t="str">
        <f>_xlfn.CONCAT(TEXT($D57,"#.000#"),""""," to ",TEXT($E57,"#.000#"),"""")</f>
        <v>2.0101" to 2.510"</v>
      </c>
      <c r="K57" s="1071">
        <v>7</v>
      </c>
      <c r="L57" s="1068">
        <v>4.5</v>
      </c>
      <c r="M57" s="1068">
        <v>0.5625</v>
      </c>
      <c r="N57" s="318" t="s">
        <v>197</v>
      </c>
      <c r="O57" s="423">
        <f t="shared" si="16"/>
        <v>475</v>
      </c>
      <c r="P57" s="423">
        <f t="shared" si="18"/>
        <v>500</v>
      </c>
      <c r="Q57" s="320">
        <v>0</v>
      </c>
      <c r="T57" s="707">
        <v>285</v>
      </c>
      <c r="U57" s="707">
        <v>285</v>
      </c>
      <c r="V57" s="703">
        <v>0</v>
      </c>
      <c r="W57" s="703"/>
      <c r="X57" s="704">
        <f t="shared" si="19"/>
        <v>228</v>
      </c>
      <c r="Y57" s="704">
        <f t="shared" si="20"/>
        <v>228</v>
      </c>
      <c r="Z57" s="704">
        <f t="shared" si="21"/>
        <v>0</v>
      </c>
      <c r="AA57" s="711"/>
      <c r="AB57" s="706">
        <f t="shared" si="6"/>
        <v>475</v>
      </c>
      <c r="AC57" s="706">
        <f t="shared" si="7"/>
        <v>500</v>
      </c>
      <c r="AD57" s="706">
        <f t="shared" si="8"/>
        <v>0</v>
      </c>
      <c r="AE57" s="711"/>
      <c r="AF57"/>
      <c r="AG57"/>
      <c r="AH57"/>
      <c r="AI57"/>
    </row>
    <row r="58" spans="1:42" x14ac:dyDescent="0.25">
      <c r="C58" t="s">
        <v>585</v>
      </c>
      <c r="D58" s="149">
        <v>51.050999999999995</v>
      </c>
      <c r="E58" s="149">
        <v>63.75</v>
      </c>
      <c r="F58" s="149"/>
      <c r="G58" s="149"/>
      <c r="H58" s="149"/>
      <c r="I58" s="144"/>
      <c r="J58" s="317" t="str">
        <f>_xlfn.CONCAT(TEXT($D58,"0.00#"),"mm"," to ",TEXT($E58,"0.00#"),"mm")</f>
        <v>51.051mm to 63.75mm</v>
      </c>
      <c r="K58" s="1071"/>
      <c r="L58" s="1068"/>
      <c r="M58" s="1068"/>
      <c r="N58" s="318" t="s">
        <v>209</v>
      </c>
      <c r="O58" s="423">
        <f t="shared" si="16"/>
        <v>415</v>
      </c>
      <c r="P58" s="423">
        <f t="shared" si="18"/>
        <v>435</v>
      </c>
      <c r="Q58" s="320">
        <v>0</v>
      </c>
      <c r="T58" s="707">
        <v>248</v>
      </c>
      <c r="U58" s="707">
        <v>248</v>
      </c>
      <c r="V58" s="703">
        <v>0</v>
      </c>
      <c r="W58" s="703"/>
      <c r="X58" s="704">
        <f t="shared" si="19"/>
        <v>198.4</v>
      </c>
      <c r="Y58" s="704">
        <f t="shared" si="20"/>
        <v>198.4</v>
      </c>
      <c r="Z58" s="704">
        <f t="shared" si="21"/>
        <v>0</v>
      </c>
      <c r="AA58" s="711"/>
      <c r="AB58" s="706">
        <f t="shared" si="6"/>
        <v>415</v>
      </c>
      <c r="AC58" s="706">
        <f t="shared" si="7"/>
        <v>435</v>
      </c>
      <c r="AD58" s="706">
        <f t="shared" si="8"/>
        <v>0</v>
      </c>
      <c r="AE58" s="711"/>
      <c r="AF58" s="712"/>
      <c r="AG58" s="712"/>
      <c r="AH58" s="707"/>
      <c r="AI58" s="712"/>
      <c r="AJ58" s="711"/>
      <c r="AK58" s="711"/>
      <c r="AL58" s="711"/>
      <c r="AM58" s="711"/>
      <c r="AN58" s="711"/>
      <c r="AO58" s="711"/>
      <c r="AP58" s="711"/>
    </row>
    <row r="59" spans="1:42" x14ac:dyDescent="0.25">
      <c r="C59" s="80"/>
      <c r="D59" s="80"/>
      <c r="E59" s="80"/>
      <c r="F59" s="80"/>
      <c r="G59" s="80"/>
      <c r="H59" s="80"/>
      <c r="I59" s="80"/>
      <c r="J59" s="321"/>
      <c r="K59" s="322"/>
      <c r="L59" s="322"/>
      <c r="M59" s="322"/>
      <c r="N59" s="323" t="s">
        <v>196</v>
      </c>
      <c r="O59" s="423">
        <f t="shared" si="16"/>
        <v>380</v>
      </c>
      <c r="P59" s="423">
        <f t="shared" si="18"/>
        <v>395</v>
      </c>
      <c r="Q59" s="320">
        <v>0</v>
      </c>
      <c r="T59" s="710">
        <v>227</v>
      </c>
      <c r="U59" s="710">
        <v>227</v>
      </c>
      <c r="V59" s="710">
        <v>0</v>
      </c>
      <c r="W59" s="703"/>
      <c r="X59" s="708">
        <f t="shared" si="19"/>
        <v>181.60000000000002</v>
      </c>
      <c r="Y59" s="708">
        <f t="shared" si="20"/>
        <v>181.60000000000002</v>
      </c>
      <c r="Z59" s="708">
        <f t="shared" si="21"/>
        <v>0</v>
      </c>
      <c r="AA59" s="711"/>
      <c r="AB59" s="709">
        <f t="shared" si="6"/>
        <v>380</v>
      </c>
      <c r="AC59" s="709">
        <f t="shared" si="7"/>
        <v>395</v>
      </c>
      <c r="AD59" s="709">
        <f t="shared" si="8"/>
        <v>0</v>
      </c>
      <c r="AE59" s="711"/>
      <c r="AF59" s="712"/>
      <c r="AG59" s="712"/>
      <c r="AH59" s="707"/>
      <c r="AI59" s="712"/>
      <c r="AJ59" s="711"/>
      <c r="AK59" s="711"/>
      <c r="AL59" s="711"/>
      <c r="AM59" s="711"/>
      <c r="AN59" s="711"/>
      <c r="AO59" s="711"/>
      <c r="AP59" s="711"/>
    </row>
    <row r="60" spans="1:42" x14ac:dyDescent="0.25">
      <c r="C60" s="80"/>
      <c r="D60" s="80"/>
      <c r="E60" s="80"/>
      <c r="F60" s="80"/>
      <c r="G60" s="80"/>
      <c r="H60" s="80"/>
      <c r="I60" s="80"/>
      <c r="J60" s="305"/>
      <c r="K60" s="306"/>
      <c r="L60" s="306"/>
      <c r="M60" s="306"/>
      <c r="N60" s="306" t="s">
        <v>198</v>
      </c>
      <c r="O60" s="688">
        <f t="shared" si="16"/>
        <v>590</v>
      </c>
      <c r="P60" s="688">
        <f t="shared" si="18"/>
        <v>620</v>
      </c>
      <c r="Q60" s="307">
        <v>0</v>
      </c>
      <c r="T60" s="707">
        <v>354</v>
      </c>
      <c r="U60" s="707">
        <v>354</v>
      </c>
      <c r="V60" s="703">
        <v>0</v>
      </c>
      <c r="W60" s="703"/>
      <c r="X60" s="704">
        <f t="shared" si="19"/>
        <v>283.2</v>
      </c>
      <c r="Y60" s="704">
        <f t="shared" si="20"/>
        <v>283.2</v>
      </c>
      <c r="Z60" s="704">
        <f t="shared" si="21"/>
        <v>0</v>
      </c>
      <c r="AA60" s="711"/>
      <c r="AB60" s="706">
        <f t="shared" si="6"/>
        <v>590</v>
      </c>
      <c r="AC60" s="706">
        <f t="shared" si="7"/>
        <v>620</v>
      </c>
      <c r="AD60" s="706">
        <f t="shared" si="8"/>
        <v>0</v>
      </c>
      <c r="AE60" s="711"/>
      <c r="AF60" s="712"/>
      <c r="AG60" s="712"/>
      <c r="AH60" s="712"/>
      <c r="AI60" s="712"/>
      <c r="AJ60" s="711"/>
      <c r="AK60" s="711"/>
      <c r="AL60" s="711"/>
      <c r="AM60" s="711"/>
      <c r="AN60" s="711"/>
      <c r="AO60" s="711"/>
      <c r="AP60" s="711"/>
    </row>
    <row r="61" spans="1:42" x14ac:dyDescent="0.25">
      <c r="C61" t="s">
        <v>6</v>
      </c>
      <c r="D61" s="148">
        <f>E57+0.0001</f>
        <v>2.5101</v>
      </c>
      <c r="E61" s="148">
        <v>3.01</v>
      </c>
      <c r="F61" s="144"/>
      <c r="G61" s="144"/>
      <c r="H61" s="144"/>
      <c r="I61" s="144"/>
      <c r="J61" s="324" t="str">
        <f>_xlfn.CONCAT(TEXT($D61,"#.000#"),""""," to ",TEXT($E61,"#.000#"),"""")</f>
        <v>2.5101" to 3.010"</v>
      </c>
      <c r="K61" s="1070">
        <v>8</v>
      </c>
      <c r="L61" s="1069">
        <v>5</v>
      </c>
      <c r="M61" s="1069">
        <v>0.625</v>
      </c>
      <c r="N61" s="309" t="s">
        <v>197</v>
      </c>
      <c r="O61" s="405">
        <f t="shared" si="16"/>
        <v>515</v>
      </c>
      <c r="P61" s="405">
        <f t="shared" si="18"/>
        <v>545</v>
      </c>
      <c r="Q61" s="211">
        <v>0</v>
      </c>
      <c r="T61" s="707">
        <v>310</v>
      </c>
      <c r="U61" s="707">
        <v>310</v>
      </c>
      <c r="V61" s="703">
        <v>0</v>
      </c>
      <c r="W61" s="703"/>
      <c r="X61" s="704">
        <f t="shared" si="19"/>
        <v>248</v>
      </c>
      <c r="Y61" s="704">
        <f t="shared" si="20"/>
        <v>248</v>
      </c>
      <c r="Z61" s="704">
        <f t="shared" si="21"/>
        <v>0</v>
      </c>
      <c r="AA61" s="711"/>
      <c r="AB61" s="706">
        <f t="shared" si="6"/>
        <v>515</v>
      </c>
      <c r="AC61" s="706">
        <f t="shared" si="7"/>
        <v>545</v>
      </c>
      <c r="AD61" s="706">
        <f t="shared" si="8"/>
        <v>0</v>
      </c>
      <c r="AE61" s="711"/>
      <c r="AF61" s="712"/>
      <c r="AG61" s="712"/>
      <c r="AH61" s="712"/>
      <c r="AI61" s="712"/>
      <c r="AJ61" s="711"/>
      <c r="AK61" s="711"/>
      <c r="AL61" s="711"/>
      <c r="AM61" s="711"/>
      <c r="AN61" s="711"/>
      <c r="AO61" s="711"/>
      <c r="AP61" s="711"/>
    </row>
    <row r="62" spans="1:42" x14ac:dyDescent="0.25">
      <c r="C62" t="s">
        <v>585</v>
      </c>
      <c r="D62" s="149">
        <v>63.750999999999998</v>
      </c>
      <c r="E62" s="149">
        <v>76.45</v>
      </c>
      <c r="F62" s="149"/>
      <c r="G62" s="149"/>
      <c r="H62" s="149"/>
      <c r="I62" s="144"/>
      <c r="J62" s="324" t="str">
        <f>_xlfn.CONCAT(TEXT($D62,"0.00#"),"mm"," to ",TEXT($E62,"0.00#"),"mm")</f>
        <v>63.751mm to 76.45mm</v>
      </c>
      <c r="K62" s="1070"/>
      <c r="L62" s="1069"/>
      <c r="M62" s="1069"/>
      <c r="N62" s="309" t="s">
        <v>209</v>
      </c>
      <c r="O62" s="405">
        <f t="shared" si="16"/>
        <v>465</v>
      </c>
      <c r="P62" s="405">
        <f t="shared" si="18"/>
        <v>485</v>
      </c>
      <c r="Q62" s="211">
        <v>0</v>
      </c>
      <c r="T62" s="707">
        <v>278</v>
      </c>
      <c r="U62" s="707">
        <v>278</v>
      </c>
      <c r="V62" s="703">
        <v>0</v>
      </c>
      <c r="W62" s="703"/>
      <c r="X62" s="704">
        <f t="shared" si="19"/>
        <v>222.4</v>
      </c>
      <c r="Y62" s="704">
        <f t="shared" si="20"/>
        <v>222.4</v>
      </c>
      <c r="Z62" s="704">
        <f t="shared" si="21"/>
        <v>0</v>
      </c>
      <c r="AA62" s="711"/>
      <c r="AB62" s="706">
        <f t="shared" si="6"/>
        <v>465</v>
      </c>
      <c r="AC62" s="706">
        <f t="shared" si="7"/>
        <v>485</v>
      </c>
      <c r="AD62" s="706">
        <f t="shared" si="8"/>
        <v>0</v>
      </c>
      <c r="AE62" s="711"/>
      <c r="AF62" s="712"/>
      <c r="AG62" s="712"/>
      <c r="AH62" s="712"/>
      <c r="AI62" s="712"/>
      <c r="AJ62" s="711"/>
      <c r="AK62" s="711"/>
      <c r="AL62" s="711"/>
      <c r="AM62" s="711"/>
      <c r="AN62" s="711"/>
      <c r="AO62" s="711"/>
      <c r="AP62" s="711"/>
    </row>
    <row r="63" spans="1:42" x14ac:dyDescent="0.25">
      <c r="C63" s="80"/>
      <c r="D63" s="80"/>
      <c r="E63" s="80"/>
      <c r="F63" s="80"/>
      <c r="G63" s="80"/>
      <c r="H63" s="80"/>
      <c r="I63" s="80"/>
      <c r="J63" s="310"/>
      <c r="K63" s="311"/>
      <c r="L63" s="311"/>
      <c r="M63" s="311"/>
      <c r="N63" s="312" t="s">
        <v>196</v>
      </c>
      <c r="O63" s="405">
        <f t="shared" si="16"/>
        <v>430</v>
      </c>
      <c r="P63" s="405">
        <f t="shared" si="18"/>
        <v>450</v>
      </c>
      <c r="Q63" s="211">
        <v>0</v>
      </c>
      <c r="T63" s="710">
        <v>258</v>
      </c>
      <c r="U63" s="710">
        <v>258</v>
      </c>
      <c r="V63" s="710">
        <v>0</v>
      </c>
      <c r="W63" s="703"/>
      <c r="X63" s="708">
        <f t="shared" si="19"/>
        <v>206.4</v>
      </c>
      <c r="Y63" s="708">
        <f t="shared" si="20"/>
        <v>206.4</v>
      </c>
      <c r="Z63" s="708">
        <f t="shared" si="21"/>
        <v>0</v>
      </c>
      <c r="AA63" s="711"/>
      <c r="AB63" s="709">
        <f t="shared" si="6"/>
        <v>430</v>
      </c>
      <c r="AC63" s="709">
        <f t="shared" si="7"/>
        <v>450</v>
      </c>
      <c r="AD63" s="709">
        <f t="shared" si="8"/>
        <v>0</v>
      </c>
      <c r="AE63" s="711"/>
      <c r="AF63" s="712"/>
      <c r="AG63" s="712"/>
      <c r="AH63" s="712"/>
      <c r="AI63" s="712"/>
      <c r="AJ63" s="711"/>
      <c r="AK63" s="711"/>
      <c r="AL63" s="711"/>
      <c r="AM63" s="711"/>
      <c r="AN63" s="711"/>
      <c r="AO63" s="711"/>
      <c r="AP63" s="711"/>
    </row>
    <row r="64" spans="1:42" x14ac:dyDescent="0.25">
      <c r="C64" s="80"/>
      <c r="D64" s="80"/>
      <c r="E64" s="80"/>
      <c r="F64" s="80"/>
      <c r="G64" s="80"/>
      <c r="H64" s="80"/>
      <c r="I64" s="80"/>
      <c r="J64" s="313"/>
      <c r="K64" s="314"/>
      <c r="L64" s="314"/>
      <c r="M64" s="314"/>
      <c r="N64" s="314" t="s">
        <v>198</v>
      </c>
      <c r="O64" s="690">
        <f t="shared" si="16"/>
        <v>725</v>
      </c>
      <c r="P64" s="690">
        <f t="shared" si="18"/>
        <v>760</v>
      </c>
      <c r="Q64" s="316">
        <v>0</v>
      </c>
      <c r="T64" s="707">
        <v>435</v>
      </c>
      <c r="U64" s="707">
        <v>435</v>
      </c>
      <c r="V64" s="703">
        <v>0</v>
      </c>
      <c r="W64" s="703"/>
      <c r="X64" s="704">
        <f t="shared" si="19"/>
        <v>348</v>
      </c>
      <c r="Y64" s="704">
        <f t="shared" si="20"/>
        <v>348</v>
      </c>
      <c r="Z64" s="704">
        <f t="shared" si="21"/>
        <v>0</v>
      </c>
      <c r="AA64" s="711"/>
      <c r="AB64" s="706">
        <f t="shared" si="6"/>
        <v>725</v>
      </c>
      <c r="AC64" s="706">
        <f t="shared" si="7"/>
        <v>760</v>
      </c>
      <c r="AD64" s="706">
        <f t="shared" si="8"/>
        <v>0</v>
      </c>
      <c r="AE64" s="711"/>
      <c r="AF64" s="712"/>
      <c r="AG64" s="712"/>
      <c r="AH64" s="712"/>
      <c r="AI64" s="712"/>
      <c r="AJ64" s="711"/>
      <c r="AK64" s="711"/>
      <c r="AL64" s="711"/>
      <c r="AM64" s="711"/>
      <c r="AN64" s="711"/>
      <c r="AO64" s="711"/>
      <c r="AP64" s="711"/>
    </row>
    <row r="65" spans="3:42" x14ac:dyDescent="0.25">
      <c r="C65" t="s">
        <v>6</v>
      </c>
      <c r="D65" s="148">
        <f>E61+0.0001</f>
        <v>3.0101</v>
      </c>
      <c r="E65" s="148">
        <v>3.51</v>
      </c>
      <c r="F65" s="144"/>
      <c r="G65" s="144"/>
      <c r="H65" s="144"/>
      <c r="I65" s="144"/>
      <c r="J65" s="317" t="str">
        <f>_xlfn.CONCAT(TEXT($D65,"#.000#"),""""," to ",TEXT($E65,"#.000#"),"""")</f>
        <v>3.0101" to 3.510"</v>
      </c>
      <c r="K65" s="1071">
        <v>9</v>
      </c>
      <c r="L65" s="1068">
        <v>5.5</v>
      </c>
      <c r="M65" s="1068">
        <v>0.6875</v>
      </c>
      <c r="N65" s="318" t="s">
        <v>197</v>
      </c>
      <c r="O65" s="423">
        <f t="shared" si="16"/>
        <v>615</v>
      </c>
      <c r="P65" s="423">
        <f t="shared" si="18"/>
        <v>650</v>
      </c>
      <c r="Q65" s="320">
        <v>0</v>
      </c>
      <c r="T65" s="707">
        <v>370</v>
      </c>
      <c r="U65" s="707">
        <v>370</v>
      </c>
      <c r="V65" s="703">
        <v>0</v>
      </c>
      <c r="W65" s="703"/>
      <c r="X65" s="704">
        <f t="shared" si="19"/>
        <v>296</v>
      </c>
      <c r="Y65" s="704">
        <f t="shared" si="20"/>
        <v>296</v>
      </c>
      <c r="Z65" s="704">
        <f t="shared" si="21"/>
        <v>0</v>
      </c>
      <c r="AA65" s="711"/>
      <c r="AB65" s="706">
        <f>MROUND((X65/((1-$AD$13)*(1-$Z$14))),5)</f>
        <v>615</v>
      </c>
      <c r="AC65" s="706">
        <f t="shared" si="7"/>
        <v>650</v>
      </c>
      <c r="AD65" s="706">
        <f t="shared" si="8"/>
        <v>0</v>
      </c>
      <c r="AE65" s="711"/>
      <c r="AF65" s="712"/>
      <c r="AG65" s="712"/>
      <c r="AH65" s="712"/>
      <c r="AI65" s="712"/>
      <c r="AJ65" s="711"/>
      <c r="AK65" s="711"/>
      <c r="AL65" s="711"/>
      <c r="AM65" s="711"/>
      <c r="AN65" s="711"/>
      <c r="AO65" s="711"/>
      <c r="AP65" s="711"/>
    </row>
    <row r="66" spans="3:42" x14ac:dyDescent="0.25">
      <c r="C66" t="s">
        <v>585</v>
      </c>
      <c r="D66" s="149">
        <v>76.451000000000008</v>
      </c>
      <c r="E66" s="149">
        <v>89.15</v>
      </c>
      <c r="F66" s="149"/>
      <c r="G66" s="149"/>
      <c r="H66" s="149"/>
      <c r="I66" s="144"/>
      <c r="J66" s="317" t="str">
        <f>_xlfn.CONCAT(TEXT($D66,"0.00#"),"mm"," to ",TEXT($E66,"0.00#"),"mm")</f>
        <v>76.451mm to 89.15mm</v>
      </c>
      <c r="K66" s="1071"/>
      <c r="L66" s="1068"/>
      <c r="M66" s="1068"/>
      <c r="N66" s="318" t="s">
        <v>209</v>
      </c>
      <c r="O66" s="423">
        <f t="shared" si="16"/>
        <v>540</v>
      </c>
      <c r="P66" s="423">
        <f t="shared" si="18"/>
        <v>565</v>
      </c>
      <c r="Q66" s="320">
        <v>0</v>
      </c>
      <c r="T66" s="707">
        <v>324</v>
      </c>
      <c r="U66" s="707">
        <v>324</v>
      </c>
      <c r="V66" s="703">
        <v>0</v>
      </c>
      <c r="W66" s="703"/>
      <c r="X66" s="704">
        <f t="shared" si="19"/>
        <v>259.2</v>
      </c>
      <c r="Y66" s="704">
        <f t="shared" si="20"/>
        <v>259.2</v>
      </c>
      <c r="Z66" s="704">
        <f t="shared" si="21"/>
        <v>0</v>
      </c>
      <c r="AA66" s="711"/>
      <c r="AB66" s="706">
        <f t="shared" si="6"/>
        <v>540</v>
      </c>
      <c r="AC66" s="706">
        <f t="shared" si="7"/>
        <v>565</v>
      </c>
      <c r="AD66" s="706">
        <f t="shared" si="8"/>
        <v>0</v>
      </c>
      <c r="AE66" s="711"/>
      <c r="AF66" s="712"/>
      <c r="AG66" s="712"/>
      <c r="AH66" s="712"/>
      <c r="AI66" s="712"/>
      <c r="AJ66" s="711"/>
      <c r="AK66" s="711"/>
      <c r="AL66" s="711"/>
      <c r="AM66" s="711"/>
      <c r="AN66" s="711"/>
      <c r="AO66" s="711"/>
      <c r="AP66" s="711"/>
    </row>
    <row r="67" spans="3:42" x14ac:dyDescent="0.25">
      <c r="C67" s="80"/>
      <c r="D67" s="80"/>
      <c r="E67" s="80"/>
      <c r="F67" s="80"/>
      <c r="G67" s="80"/>
      <c r="H67" s="80"/>
      <c r="I67" s="80"/>
      <c r="J67" s="321"/>
      <c r="K67" s="322"/>
      <c r="L67" s="322"/>
      <c r="M67" s="322"/>
      <c r="N67" s="323" t="s">
        <v>196</v>
      </c>
      <c r="O67" s="423">
        <f t="shared" si="16"/>
        <v>490</v>
      </c>
      <c r="P67" s="423">
        <f t="shared" si="18"/>
        <v>515</v>
      </c>
      <c r="Q67" s="320">
        <v>0</v>
      </c>
      <c r="T67" s="710">
        <v>295</v>
      </c>
      <c r="U67" s="710">
        <v>295</v>
      </c>
      <c r="V67" s="710">
        <v>0</v>
      </c>
      <c r="W67" s="703"/>
      <c r="X67" s="708">
        <f t="shared" si="19"/>
        <v>236</v>
      </c>
      <c r="Y67" s="708">
        <f t="shared" si="20"/>
        <v>236</v>
      </c>
      <c r="Z67" s="708">
        <f t="shared" si="21"/>
        <v>0</v>
      </c>
      <c r="AA67" s="711"/>
      <c r="AB67" s="709">
        <f t="shared" si="6"/>
        <v>490</v>
      </c>
      <c r="AC67" s="709">
        <f t="shared" si="7"/>
        <v>515</v>
      </c>
      <c r="AD67" s="709">
        <f t="shared" si="8"/>
        <v>0</v>
      </c>
      <c r="AE67" s="711"/>
      <c r="AF67" s="712"/>
      <c r="AG67" s="712"/>
      <c r="AH67" s="712"/>
      <c r="AI67" s="712"/>
      <c r="AJ67" s="711"/>
      <c r="AK67" s="711"/>
      <c r="AL67" s="711"/>
      <c r="AM67" s="711"/>
      <c r="AN67" s="711"/>
      <c r="AO67" s="711"/>
      <c r="AP67" s="711"/>
    </row>
    <row r="68" spans="3:42" x14ac:dyDescent="0.25">
      <c r="C68" s="80"/>
      <c r="D68" s="80"/>
      <c r="E68" s="80"/>
      <c r="F68" s="80"/>
      <c r="G68" s="80"/>
      <c r="H68" s="80"/>
      <c r="I68" s="80"/>
      <c r="J68" s="305"/>
      <c r="K68" s="306"/>
      <c r="L68" s="306"/>
      <c r="M68" s="306"/>
      <c r="N68" s="306" t="s">
        <v>198</v>
      </c>
      <c r="O68" s="688">
        <f t="shared" si="16"/>
        <v>825</v>
      </c>
      <c r="P68" s="688">
        <f t="shared" si="18"/>
        <v>865</v>
      </c>
      <c r="Q68" s="307">
        <v>0</v>
      </c>
      <c r="T68" s="707">
        <v>494</v>
      </c>
      <c r="U68" s="707">
        <v>494</v>
      </c>
      <c r="V68" s="703">
        <v>0</v>
      </c>
      <c r="W68" s="703"/>
      <c r="X68" s="704">
        <f t="shared" si="19"/>
        <v>395.20000000000005</v>
      </c>
      <c r="Y68" s="704">
        <f t="shared" si="20"/>
        <v>395.20000000000005</v>
      </c>
      <c r="Z68" s="704">
        <f t="shared" si="21"/>
        <v>0</v>
      </c>
      <c r="AA68" s="711"/>
      <c r="AB68" s="706">
        <f t="shared" si="6"/>
        <v>825</v>
      </c>
      <c r="AC68" s="706">
        <f t="shared" si="7"/>
        <v>865</v>
      </c>
      <c r="AD68" s="706">
        <f t="shared" si="8"/>
        <v>0</v>
      </c>
      <c r="AE68" s="711"/>
      <c r="AF68" s="712"/>
      <c r="AG68" s="712"/>
      <c r="AH68" s="712"/>
      <c r="AI68" s="712"/>
      <c r="AJ68" s="711"/>
      <c r="AK68" s="711"/>
      <c r="AL68" s="711"/>
      <c r="AM68" s="711"/>
      <c r="AN68" s="711"/>
      <c r="AO68" s="711"/>
      <c r="AP68" s="711"/>
    </row>
    <row r="69" spans="3:42" x14ac:dyDescent="0.25">
      <c r="C69" t="s">
        <v>6</v>
      </c>
      <c r="D69" s="148">
        <f>E65+0.0001</f>
        <v>3.5101</v>
      </c>
      <c r="E69" s="148">
        <v>4.01</v>
      </c>
      <c r="F69" s="144"/>
      <c r="G69" s="144"/>
      <c r="H69" s="144"/>
      <c r="I69" s="144"/>
      <c r="J69" s="324" t="str">
        <f>_xlfn.CONCAT(TEXT($D69,"#.000#"),""""," to ",TEXT($E69,"#.000#"),"""")</f>
        <v>3.5101" to 4.010"</v>
      </c>
      <c r="K69" s="1070">
        <v>10</v>
      </c>
      <c r="L69" s="1069">
        <v>6.25</v>
      </c>
      <c r="M69" s="1069">
        <v>0.75</v>
      </c>
      <c r="N69" s="309" t="s">
        <v>197</v>
      </c>
      <c r="O69" s="405">
        <f t="shared" si="16"/>
        <v>690</v>
      </c>
      <c r="P69" s="405">
        <f t="shared" si="18"/>
        <v>725</v>
      </c>
      <c r="Q69" s="211">
        <v>0</v>
      </c>
      <c r="T69" s="707">
        <v>415</v>
      </c>
      <c r="U69" s="707">
        <v>415</v>
      </c>
      <c r="V69" s="703">
        <v>0</v>
      </c>
      <c r="W69" s="703"/>
      <c r="X69" s="704">
        <f t="shared" si="19"/>
        <v>332</v>
      </c>
      <c r="Y69" s="704">
        <f t="shared" si="20"/>
        <v>332</v>
      </c>
      <c r="Z69" s="704">
        <f t="shared" si="21"/>
        <v>0</v>
      </c>
      <c r="AA69" s="711"/>
      <c r="AB69" s="706">
        <f t="shared" si="6"/>
        <v>690</v>
      </c>
      <c r="AC69" s="706">
        <f t="shared" si="7"/>
        <v>725</v>
      </c>
      <c r="AD69" s="706">
        <f t="shared" si="8"/>
        <v>0</v>
      </c>
      <c r="AE69" s="711"/>
      <c r="AF69" s="712"/>
      <c r="AG69" s="712"/>
      <c r="AH69" s="712"/>
      <c r="AI69" s="712"/>
      <c r="AJ69" s="711"/>
      <c r="AK69" s="711"/>
      <c r="AL69" s="711"/>
      <c r="AM69" s="711"/>
      <c r="AN69" s="711"/>
      <c r="AO69" s="711"/>
      <c r="AP69" s="711"/>
    </row>
    <row r="70" spans="3:42" x14ac:dyDescent="0.25">
      <c r="C70" t="s">
        <v>585</v>
      </c>
      <c r="D70" s="149">
        <v>89.15100000000001</v>
      </c>
      <c r="E70" s="149">
        <v>101.85</v>
      </c>
      <c r="F70" s="149"/>
      <c r="G70" s="149"/>
      <c r="H70" s="149"/>
      <c r="I70" s="144"/>
      <c r="J70" s="324" t="str">
        <f>_xlfn.CONCAT(TEXT($D70,"0.00#"),"mm"," to ",TEXT($E70,"0.00#"),"mm")</f>
        <v>89.151mm to 101.85mm</v>
      </c>
      <c r="K70" s="1070"/>
      <c r="L70" s="1069"/>
      <c r="M70" s="1069"/>
      <c r="N70" s="309" t="s">
        <v>209</v>
      </c>
      <c r="O70" s="405">
        <f t="shared" si="16"/>
        <v>605</v>
      </c>
      <c r="P70" s="405">
        <f t="shared" si="18"/>
        <v>635</v>
      </c>
      <c r="Q70" s="211">
        <v>0</v>
      </c>
      <c r="T70" s="707">
        <v>362</v>
      </c>
      <c r="U70" s="707">
        <v>362</v>
      </c>
      <c r="V70" s="703">
        <v>0</v>
      </c>
      <c r="W70" s="703"/>
      <c r="X70" s="704">
        <f t="shared" si="19"/>
        <v>289.60000000000002</v>
      </c>
      <c r="Y70" s="704">
        <f t="shared" si="20"/>
        <v>289.60000000000002</v>
      </c>
      <c r="Z70" s="704">
        <f t="shared" si="21"/>
        <v>0</v>
      </c>
      <c r="AA70" s="711"/>
      <c r="AB70" s="706">
        <f t="shared" si="6"/>
        <v>605</v>
      </c>
      <c r="AC70" s="706">
        <f t="shared" si="7"/>
        <v>635</v>
      </c>
      <c r="AD70" s="706">
        <f t="shared" si="8"/>
        <v>0</v>
      </c>
      <c r="AE70" s="711"/>
      <c r="AF70" s="712"/>
      <c r="AG70" s="712"/>
      <c r="AH70" s="712"/>
      <c r="AI70" s="712"/>
      <c r="AJ70" s="711"/>
      <c r="AK70" s="711"/>
      <c r="AL70" s="711"/>
      <c r="AM70" s="711"/>
      <c r="AN70" s="711"/>
      <c r="AO70" s="711"/>
      <c r="AP70" s="711"/>
    </row>
    <row r="71" spans="3:42" ht="15.75" thickBot="1" x14ac:dyDescent="0.3">
      <c r="J71" s="204"/>
      <c r="K71" s="326"/>
      <c r="L71" s="326"/>
      <c r="M71" s="326"/>
      <c r="N71" s="327" t="s">
        <v>196</v>
      </c>
      <c r="O71" s="445">
        <f t="shared" si="16"/>
        <v>570</v>
      </c>
      <c r="P71" s="445">
        <f t="shared" si="18"/>
        <v>595</v>
      </c>
      <c r="Q71" s="328">
        <v>0</v>
      </c>
      <c r="T71" s="707">
        <v>341</v>
      </c>
      <c r="U71" s="707">
        <v>341</v>
      </c>
      <c r="V71" s="703">
        <v>0</v>
      </c>
      <c r="W71" s="703"/>
      <c r="X71" s="704">
        <f t="shared" si="19"/>
        <v>272.8</v>
      </c>
      <c r="Y71" s="704">
        <f t="shared" si="20"/>
        <v>272.8</v>
      </c>
      <c r="Z71" s="704">
        <f t="shared" si="21"/>
        <v>0</v>
      </c>
      <c r="AA71" s="711"/>
      <c r="AB71" s="706">
        <f t="shared" si="6"/>
        <v>570</v>
      </c>
      <c r="AC71" s="706">
        <f t="shared" si="7"/>
        <v>595</v>
      </c>
      <c r="AD71" s="706">
        <f t="shared" si="8"/>
        <v>0</v>
      </c>
      <c r="AE71" s="711"/>
      <c r="AF71" s="712"/>
      <c r="AG71" s="712"/>
      <c r="AH71" s="712"/>
      <c r="AI71" s="712"/>
      <c r="AJ71" s="711"/>
      <c r="AK71" s="711"/>
      <c r="AL71" s="711"/>
      <c r="AM71" s="711"/>
      <c r="AN71" s="711"/>
      <c r="AO71" s="711"/>
      <c r="AP71" s="711"/>
    </row>
    <row r="72" spans="3:42" x14ac:dyDescent="0.25">
      <c r="Q72" s="201"/>
      <c r="V72" s="386"/>
    </row>
    <row r="73" spans="3:42" x14ac:dyDescent="0.25">
      <c r="Q73" s="201"/>
      <c r="V73" s="386"/>
    </row>
    <row r="74" spans="3:42" x14ac:dyDescent="0.25">
      <c r="Q74" s="201"/>
      <c r="V74" s="386"/>
    </row>
    <row r="75" spans="3:42" x14ac:dyDescent="0.25">
      <c r="Q75" s="201"/>
      <c r="V75" s="386"/>
    </row>
    <row r="76" spans="3:42" x14ac:dyDescent="0.25">
      <c r="Q76" s="201"/>
    </row>
    <row r="77" spans="3:42" x14ac:dyDescent="0.25">
      <c r="Q77" s="201"/>
    </row>
    <row r="78" spans="3:42" x14ac:dyDescent="0.25">
      <c r="Q78" s="201"/>
    </row>
    <row r="79" spans="3:42" x14ac:dyDescent="0.25">
      <c r="Q79" s="201"/>
    </row>
    <row r="80" spans="3:42" x14ac:dyDescent="0.25">
      <c r="Q80" s="201"/>
    </row>
    <row r="81" spans="17:17" ht="15.75" x14ac:dyDescent="0.25">
      <c r="Q81" s="52"/>
    </row>
    <row r="82" spans="17:17" ht="15.75" x14ac:dyDescent="0.25">
      <c r="Q82" s="52"/>
    </row>
    <row r="83" spans="17:17" ht="15.75" x14ac:dyDescent="0.25">
      <c r="Q83" s="52"/>
    </row>
    <row r="84" spans="17:17" ht="15.75" x14ac:dyDescent="0.25">
      <c r="Q84" s="52"/>
    </row>
    <row r="85" spans="17:17" ht="15.75" x14ac:dyDescent="0.25">
      <c r="Q85" s="52"/>
    </row>
  </sheetData>
  <sheetProtection algorithmName="SHA-512" hashValue="6mXtzNKUepFJm0uEd2bGGQcYvZbUqeyLEfh80wr8KJfPa98aWHMAjAMLDO54sS0byE8PmQITxvfrmkpGl5o71Q==" saltValue="UmywFbBMVLDyZlU9VWyYJA==" spinCount="100000" sheet="1" objects="1" scenarios="1"/>
  <mergeCells count="39">
    <mergeCell ref="K21:K22"/>
    <mergeCell ref="K25:K26"/>
    <mergeCell ref="K29:K30"/>
    <mergeCell ref="K33:K34"/>
    <mergeCell ref="K37:K38"/>
    <mergeCell ref="K41:K42"/>
    <mergeCell ref="K45:K46"/>
    <mergeCell ref="K49:K50"/>
    <mergeCell ref="K53:K54"/>
    <mergeCell ref="K57:K58"/>
    <mergeCell ref="K61:K62"/>
    <mergeCell ref="K65:K66"/>
    <mergeCell ref="K69:K70"/>
    <mergeCell ref="L69:L70"/>
    <mergeCell ref="M69:M70"/>
    <mergeCell ref="L65:L66"/>
    <mergeCell ref="M65:M66"/>
    <mergeCell ref="L21:L22"/>
    <mergeCell ref="M21:M22"/>
    <mergeCell ref="L25:L26"/>
    <mergeCell ref="M25:M26"/>
    <mergeCell ref="L29:L30"/>
    <mergeCell ref="M29:M30"/>
    <mergeCell ref="L33:L34"/>
    <mergeCell ref="M33:M34"/>
    <mergeCell ref="M41:M42"/>
    <mergeCell ref="L41:L42"/>
    <mergeCell ref="M37:M38"/>
    <mergeCell ref="L37:L38"/>
    <mergeCell ref="M49:M50"/>
    <mergeCell ref="L49:L50"/>
    <mergeCell ref="M45:M46"/>
    <mergeCell ref="L45:L46"/>
    <mergeCell ref="M61:M62"/>
    <mergeCell ref="L61:L62"/>
    <mergeCell ref="M57:M58"/>
    <mergeCell ref="L57:L58"/>
    <mergeCell ref="M53:M54"/>
    <mergeCell ref="L53:L54"/>
  </mergeCells>
  <conditionalFormatting sqref="J13:J16 N14:N15">
    <cfRule type="expression" dxfId="17" priority="1">
      <formula>#REF!="y"</formula>
    </cfRule>
  </conditionalFormatting>
  <pageMargins left="0.7" right="0.7" top="0.75" bottom="0.75" header="0.3" footer="0.3"/>
  <pageSetup orientation="portrait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F7275-3168-4611-9EC4-FFFAA9EE3F8A}">
  <sheetPr codeName="Sheet19">
    <outlinePr summaryBelow="0"/>
    <pageSetUpPr autoPageBreaks="0" fitToPage="1"/>
  </sheetPr>
  <dimension ref="A1:AB58"/>
  <sheetViews>
    <sheetView showGridLines="0" zoomScale="90" zoomScaleNormal="90" workbookViewId="0">
      <selection activeCell="S53" sqref="S53"/>
    </sheetView>
  </sheetViews>
  <sheetFormatPr defaultRowHeight="15" outlineLevelRow="1" outlineLevelCol="1" x14ac:dyDescent="0.25"/>
  <cols>
    <col min="1" max="1" width="1.7109375" customWidth="1"/>
    <col min="2" max="4" width="10.140625" hidden="1" customWidth="1" outlineLevel="1"/>
    <col min="5" max="5" width="1.7109375" hidden="1" customWidth="1" outlineLevel="1"/>
    <col min="6" max="6" width="10.5703125" style="11" hidden="1" customWidth="1" outlineLevel="1"/>
    <col min="7" max="7" width="10.5703125" hidden="1" customWidth="1" outlineLevel="1"/>
    <col min="8" max="8" width="1.7109375" hidden="1" customWidth="1" outlineLevel="1"/>
    <col min="9" max="9" width="10.5703125" hidden="1" customWidth="1" outlineLevel="1"/>
    <col min="10" max="10" width="1.7109375" hidden="1" customWidth="1" outlineLevel="1"/>
    <col min="11" max="13" width="10.5703125" hidden="1" customWidth="1" outlineLevel="1"/>
    <col min="14" max="14" width="1.7109375" hidden="1" customWidth="1" outlineLevel="1"/>
    <col min="15" max="17" width="10.5703125" hidden="1" customWidth="1" outlineLevel="1"/>
    <col min="18" max="18" width="1.7109375" hidden="1" customWidth="1" outlineLevel="1"/>
    <col min="19" max="19" width="12.28515625" customWidth="1" collapsed="1"/>
    <col min="20" max="20" width="12.28515625" customWidth="1"/>
    <col min="21" max="23" width="14.85546875" style="11" customWidth="1"/>
    <col min="24" max="28" width="14.85546875" customWidth="1"/>
  </cols>
  <sheetData>
    <row r="1" spans="2:20" ht="5.0999999999999996" customHeight="1" x14ac:dyDescent="0.25"/>
    <row r="2" spans="2:20" ht="21" x14ac:dyDescent="0.35">
      <c r="S2" s="500" t="s">
        <v>629</v>
      </c>
      <c r="T2" s="142"/>
    </row>
    <row r="3" spans="2:20" ht="18.75" collapsed="1" x14ac:dyDescent="0.3">
      <c r="S3" s="569" t="s">
        <v>664</v>
      </c>
      <c r="T3" s="142"/>
    </row>
    <row r="4" spans="2:20" ht="18.75" hidden="1" outlineLevel="1" x14ac:dyDescent="0.3">
      <c r="B4" s="743" t="s">
        <v>893</v>
      </c>
      <c r="C4" s="743" t="s">
        <v>894</v>
      </c>
      <c r="K4" t="s">
        <v>715</v>
      </c>
      <c r="T4" s="142"/>
    </row>
    <row r="5" spans="2:20" ht="18.75" hidden="1" outlineLevel="1" x14ac:dyDescent="0.3">
      <c r="B5" s="2">
        <v>290</v>
      </c>
      <c r="C5" s="2" t="s">
        <v>856</v>
      </c>
      <c r="T5" s="142"/>
    </row>
    <row r="6" spans="2:20" ht="18.75" hidden="1" outlineLevel="1" x14ac:dyDescent="0.3">
      <c r="T6" s="142"/>
    </row>
    <row r="7" spans="2:20" x14ac:dyDescent="0.25">
      <c r="B7" s="80"/>
      <c r="D7" s="516"/>
      <c r="E7" s="516"/>
      <c r="F7" s="518"/>
    </row>
    <row r="8" spans="2:20" x14ac:dyDescent="0.25">
      <c r="B8" s="511" t="s">
        <v>648</v>
      </c>
      <c r="C8" s="515" t="s">
        <v>657</v>
      </c>
      <c r="D8" s="516"/>
      <c r="E8" s="516"/>
      <c r="F8" s="518"/>
      <c r="S8" s="511" t="str">
        <f>_xlfn.CONCAT($B$8,"  ",C8)</f>
        <v>•  Class XX, X, Y, or Z</v>
      </c>
    </row>
    <row r="9" spans="2:20" x14ac:dyDescent="0.25">
      <c r="B9" s="80"/>
      <c r="C9" s="13" t="s">
        <v>679</v>
      </c>
      <c r="D9" s="516"/>
      <c r="E9" s="516"/>
      <c r="F9" s="518"/>
      <c r="S9" s="511" t="str">
        <f>_xlfn.CONCAT($B$8,"  ",C9)</f>
        <v>•  Go (Plus), NoGo (Minus), or Master* (Bilateral) tolerance</v>
      </c>
    </row>
    <row r="10" spans="2:20" x14ac:dyDescent="0.25">
      <c r="B10" s="516"/>
      <c r="C10" s="13" t="s">
        <v>492</v>
      </c>
      <c r="D10" s="516"/>
      <c r="E10" s="516"/>
      <c r="F10" s="518"/>
      <c r="S10" s="511" t="str">
        <f>_xlfn.CONCAT($B$8,"  ",C10)</f>
        <v>•  Available in steel only</v>
      </c>
    </row>
    <row r="11" spans="2:20" x14ac:dyDescent="0.25">
      <c r="B11" s="516"/>
      <c r="C11" s="89" t="s">
        <v>670</v>
      </c>
      <c r="D11" s="516"/>
      <c r="E11" s="516"/>
      <c r="F11" s="518"/>
      <c r="S11" s="511" t="str">
        <f>_xlfn.CONCAT($B$8,"  ",C11)</f>
        <v>•  Custom marking available – $15 per handle flat</v>
      </c>
    </row>
    <row r="12" spans="2:20" ht="15.75" collapsed="1" thickBot="1" x14ac:dyDescent="0.3">
      <c r="B12" s="143"/>
      <c r="C12" s="143"/>
      <c r="D12" s="143"/>
      <c r="E12" s="143"/>
      <c r="F12" s="331"/>
    </row>
    <row r="13" spans="2:20" hidden="1" outlineLevel="1" x14ac:dyDescent="0.25">
      <c r="B13" s="143"/>
      <c r="C13" s="143"/>
      <c r="D13" s="143"/>
      <c r="E13" s="143"/>
      <c r="F13" s="790" t="s">
        <v>698</v>
      </c>
      <c r="G13" s="791" t="s">
        <v>573</v>
      </c>
    </row>
    <row r="14" spans="2:20" hidden="1" outlineLevel="1" x14ac:dyDescent="0.25">
      <c r="B14" s="143"/>
      <c r="C14" s="143"/>
      <c r="D14" s="143"/>
      <c r="E14" s="143"/>
      <c r="F14" s="697">
        <v>1</v>
      </c>
      <c r="G14" s="386">
        <v>18</v>
      </c>
    </row>
    <row r="15" spans="2:20" hidden="1" outlineLevel="1" x14ac:dyDescent="0.25">
      <c r="B15" s="143"/>
      <c r="C15" s="143"/>
      <c r="D15" s="143"/>
      <c r="E15" s="143"/>
      <c r="F15" s="697">
        <v>2</v>
      </c>
      <c r="G15" s="386">
        <v>19</v>
      </c>
    </row>
    <row r="16" spans="2:20" hidden="1" outlineLevel="1" x14ac:dyDescent="0.25">
      <c r="B16" s="143"/>
      <c r="C16" s="143"/>
      <c r="D16" s="143"/>
      <c r="E16" s="143"/>
      <c r="F16" s="697">
        <v>3</v>
      </c>
      <c r="G16" s="386">
        <v>20</v>
      </c>
    </row>
    <row r="17" spans="1:28" hidden="1" outlineLevel="1" x14ac:dyDescent="0.25">
      <c r="B17" s="143"/>
      <c r="C17" s="143"/>
      <c r="D17" s="143"/>
      <c r="E17" s="143"/>
      <c r="F17" s="697">
        <v>4</v>
      </c>
      <c r="G17" s="386">
        <v>21</v>
      </c>
    </row>
    <row r="18" spans="1:28" hidden="1" outlineLevel="1" x14ac:dyDescent="0.25">
      <c r="B18" s="143"/>
      <c r="C18" s="143"/>
      <c r="D18" s="143"/>
      <c r="E18" s="143"/>
      <c r="F18" s="697">
        <v>5</v>
      </c>
      <c r="G18" s="386">
        <v>22</v>
      </c>
    </row>
    <row r="19" spans="1:28" ht="15.75" hidden="1" outlineLevel="1" thickBot="1" x14ac:dyDescent="0.3">
      <c r="B19" s="143"/>
      <c r="C19" s="143"/>
      <c r="D19" s="143"/>
      <c r="E19" s="143"/>
      <c r="F19" s="331"/>
      <c r="G19" s="386"/>
    </row>
    <row r="20" spans="1:28" s="80" customFormat="1" x14ac:dyDescent="0.25">
      <c r="A20"/>
      <c r="B20" s="80" t="s">
        <v>612</v>
      </c>
      <c r="D20" s="150">
        <v>0.2</v>
      </c>
      <c r="F20" s="329"/>
      <c r="P20"/>
      <c r="Q20"/>
      <c r="S20" s="767" t="str">
        <f>S2</f>
        <v>Taperlocks</v>
      </c>
      <c r="T20" s="772"/>
      <c r="U20" s="772"/>
      <c r="V20" s="772"/>
      <c r="W20" s="772"/>
      <c r="X20" s="772"/>
      <c r="Y20" s="772"/>
      <c r="Z20" s="772"/>
      <c r="AA20" s="772"/>
      <c r="AB20" s="773"/>
    </row>
    <row r="21" spans="1:28" s="80" customFormat="1" ht="17.25" x14ac:dyDescent="0.25">
      <c r="A21"/>
      <c r="B21" s="80" t="s">
        <v>713</v>
      </c>
      <c r="D21" s="607">
        <v>5</v>
      </c>
      <c r="F21" s="329"/>
      <c r="H21"/>
      <c r="I21"/>
      <c r="J21"/>
      <c r="K21" s="631" t="s">
        <v>188</v>
      </c>
      <c r="L21" s="696"/>
      <c r="M21" s="696"/>
      <c r="N21"/>
      <c r="O21" s="631" t="s">
        <v>215</v>
      </c>
      <c r="P21" s="696"/>
      <c r="Q21" s="696"/>
      <c r="S21" s="1072" t="s">
        <v>3</v>
      </c>
      <c r="T21" s="1073"/>
      <c r="U21" s="151" t="s">
        <v>607</v>
      </c>
      <c r="V21" s="152"/>
      <c r="W21" s="1076" t="s">
        <v>579</v>
      </c>
      <c r="X21" s="151" t="s">
        <v>608</v>
      </c>
      <c r="Y21" s="152"/>
      <c r="Z21" s="151" t="s">
        <v>609</v>
      </c>
      <c r="AA21" s="151"/>
      <c r="AB21" s="153"/>
    </row>
    <row r="22" spans="1:28" s="80" customFormat="1" x14ac:dyDescent="0.25">
      <c r="A22"/>
      <c r="F22" s="329"/>
      <c r="G22" s="344"/>
      <c r="H22"/>
      <c r="I22" s="345"/>
      <c r="J22"/>
      <c r="K22" s="737" t="s">
        <v>632</v>
      </c>
      <c r="L22" s="737" t="s">
        <v>633</v>
      </c>
      <c r="M22" s="737" t="s">
        <v>636</v>
      </c>
      <c r="N22" s="18"/>
      <c r="O22" s="737" t="s">
        <v>632</v>
      </c>
      <c r="P22" s="737" t="s">
        <v>633</v>
      </c>
      <c r="Q22" s="737" t="s">
        <v>636</v>
      </c>
      <c r="S22" s="1074"/>
      <c r="T22" s="1075"/>
      <c r="U22" s="155" t="s">
        <v>606</v>
      </c>
      <c r="V22" s="155" t="s">
        <v>605</v>
      </c>
      <c r="W22" s="1077"/>
      <c r="X22" s="155" t="s">
        <v>606</v>
      </c>
      <c r="Y22" s="155" t="s">
        <v>605</v>
      </c>
      <c r="Z22" s="155" t="s">
        <v>606</v>
      </c>
      <c r="AA22" s="155" t="s">
        <v>605</v>
      </c>
      <c r="AB22" s="156" t="s">
        <v>610</v>
      </c>
    </row>
    <row r="23" spans="1:28" x14ac:dyDescent="0.25">
      <c r="F23" s="11">
        <v>1</v>
      </c>
      <c r="G23" s="342">
        <f>_xlfn.XLOOKUP(F23,$F$14:$F$18,$G$14:$G$18)</f>
        <v>18</v>
      </c>
      <c r="I23" s="685">
        <v>0.35</v>
      </c>
      <c r="K23" s="386">
        <v>101</v>
      </c>
      <c r="L23" s="386">
        <v>110</v>
      </c>
      <c r="M23" s="735">
        <f>((L23-K23)/K23)</f>
        <v>8.9108910891089105E-2</v>
      </c>
      <c r="O23" s="386">
        <v>97</v>
      </c>
      <c r="P23" s="686">
        <f>MROUND((1+$M23)*O23,5)</f>
        <v>105</v>
      </c>
      <c r="Q23" s="735">
        <f>((P23-O23)/O23)</f>
        <v>8.247422680412371E-2</v>
      </c>
      <c r="S23" s="157"/>
      <c r="U23" s="158"/>
      <c r="V23" s="158"/>
      <c r="W23" s="159" t="s">
        <v>198</v>
      </c>
      <c r="X23" s="160">
        <f>L23</f>
        <v>110</v>
      </c>
      <c r="Y23" s="160">
        <f>P23</f>
        <v>105</v>
      </c>
      <c r="Z23" s="160">
        <f>MROUND((1+$D$20)*($X23+$G23),$D$21)</f>
        <v>155</v>
      </c>
      <c r="AA23" s="160">
        <f t="shared" ref="AA23:AA42" si="0">MROUND((1+$D$20)*($Y23+$G23),$D$21)</f>
        <v>150</v>
      </c>
      <c r="AB23" s="161">
        <f>MROUND((1+$D$20)*($X23+$G23+$Y23),$D$21)</f>
        <v>280</v>
      </c>
    </row>
    <row r="24" spans="1:28" x14ac:dyDescent="0.25">
      <c r="B24" t="s">
        <v>6</v>
      </c>
      <c r="C24" s="148">
        <v>0.2301</v>
      </c>
      <c r="D24" s="148">
        <v>0.36499999999999999</v>
      </c>
      <c r="E24" s="144"/>
      <c r="F24" s="11">
        <f t="shared" ref="F24:G26" si="1">F23</f>
        <v>1</v>
      </c>
      <c r="G24" s="332">
        <f t="shared" si="1"/>
        <v>18</v>
      </c>
      <c r="I24" s="685">
        <v>0.2</v>
      </c>
      <c r="K24" s="386">
        <v>77</v>
      </c>
      <c r="L24" s="386">
        <v>80</v>
      </c>
      <c r="M24" s="735">
        <f t="shared" ref="M24:M42" si="2">((L24-K24)/K24)</f>
        <v>3.896103896103896E-2</v>
      </c>
      <c r="O24" s="386">
        <v>76</v>
      </c>
      <c r="P24" s="686">
        <f t="shared" ref="P24:P42" si="3">MROUND((1+$M24)*O24,5)</f>
        <v>80</v>
      </c>
      <c r="Q24" s="735">
        <f t="shared" ref="Q24:Q42" si="4">((P24-O24)/O24)</f>
        <v>5.2631578947368418E-2</v>
      </c>
      <c r="S24" s="162" t="str">
        <f>_xlfn.CONCAT(TEXT($C24,"#.0000"),""""," to ",TEXT($D24,"#.000#"),"""")</f>
        <v>.2301" to .365"</v>
      </c>
      <c r="T24" s="163"/>
      <c r="U24" s="160" t="s">
        <v>590</v>
      </c>
      <c r="V24" s="160" t="s">
        <v>216</v>
      </c>
      <c r="W24" s="159" t="s">
        <v>197</v>
      </c>
      <c r="X24" s="160">
        <f t="shared" ref="X24:X42" si="5">L24</f>
        <v>80</v>
      </c>
      <c r="Y24" s="160">
        <f t="shared" ref="Y24:Y42" si="6">P24</f>
        <v>80</v>
      </c>
      <c r="Z24" s="160">
        <f t="shared" ref="Z24:Z42" si="7">MROUND((1+$D$20)*($X24+$G24),$D$21)</f>
        <v>120</v>
      </c>
      <c r="AA24" s="160">
        <f t="shared" si="0"/>
        <v>120</v>
      </c>
      <c r="AB24" s="161">
        <f t="shared" ref="AB24:AB42" si="8">MROUND((1+$D$20)*($X24+$G24+$Y24),$D$21)</f>
        <v>215</v>
      </c>
    </row>
    <row r="25" spans="1:28" x14ac:dyDescent="0.25">
      <c r="B25" t="s">
        <v>585</v>
      </c>
      <c r="C25" s="149">
        <v>5.851</v>
      </c>
      <c r="D25" s="149">
        <v>9.27</v>
      </c>
      <c r="E25" s="144"/>
      <c r="F25" s="11">
        <f t="shared" si="1"/>
        <v>1</v>
      </c>
      <c r="G25" s="332">
        <f t="shared" si="1"/>
        <v>18</v>
      </c>
      <c r="I25" s="685">
        <v>0.2</v>
      </c>
      <c r="K25" s="386">
        <v>70</v>
      </c>
      <c r="L25" s="386">
        <v>75</v>
      </c>
      <c r="M25" s="735">
        <f t="shared" si="2"/>
        <v>7.1428571428571425E-2</v>
      </c>
      <c r="O25" s="386">
        <v>69</v>
      </c>
      <c r="P25" s="686">
        <f t="shared" si="3"/>
        <v>75</v>
      </c>
      <c r="Q25" s="735">
        <f t="shared" si="4"/>
        <v>8.6956521739130432E-2</v>
      </c>
      <c r="S25" s="162" t="str">
        <f>_xlfn.CONCAT(TEXT($C25,"0.00#"),"mm"," to ",TEXT($D25,"0.00#"),"mm")</f>
        <v>5.851mm to 9.27mm</v>
      </c>
      <c r="T25" s="163"/>
      <c r="U25" s="164" t="s">
        <v>588</v>
      </c>
      <c r="V25" s="164" t="s">
        <v>604</v>
      </c>
      <c r="W25" s="159" t="s">
        <v>209</v>
      </c>
      <c r="X25" s="160">
        <f t="shared" si="5"/>
        <v>75</v>
      </c>
      <c r="Y25" s="160">
        <f t="shared" si="6"/>
        <v>75</v>
      </c>
      <c r="Z25" s="160">
        <f t="shared" si="7"/>
        <v>110</v>
      </c>
      <c r="AA25" s="160">
        <f t="shared" si="0"/>
        <v>110</v>
      </c>
      <c r="AB25" s="161">
        <f t="shared" si="8"/>
        <v>200</v>
      </c>
    </row>
    <row r="26" spans="1:28" x14ac:dyDescent="0.25">
      <c r="C26" s="148"/>
      <c r="D26" s="148"/>
      <c r="E26" s="144"/>
      <c r="F26" s="11">
        <f t="shared" si="1"/>
        <v>1</v>
      </c>
      <c r="G26" s="347">
        <f t="shared" si="1"/>
        <v>18</v>
      </c>
      <c r="I26" s="693">
        <v>0.2</v>
      </c>
      <c r="K26" s="687">
        <v>66</v>
      </c>
      <c r="L26" s="687">
        <v>70</v>
      </c>
      <c r="M26" s="736">
        <f t="shared" si="2"/>
        <v>6.0606060606060608E-2</v>
      </c>
      <c r="O26" s="687">
        <v>65</v>
      </c>
      <c r="P26" s="716">
        <f t="shared" si="3"/>
        <v>70</v>
      </c>
      <c r="Q26" s="736">
        <f t="shared" si="4"/>
        <v>7.6923076923076927E-2</v>
      </c>
      <c r="S26" s="157"/>
      <c r="U26" s="164"/>
      <c r="V26" s="165"/>
      <c r="W26" s="159" t="s">
        <v>196</v>
      </c>
      <c r="X26" s="160">
        <f t="shared" si="5"/>
        <v>70</v>
      </c>
      <c r="Y26" s="160">
        <f t="shared" si="6"/>
        <v>70</v>
      </c>
      <c r="Z26" s="160">
        <f t="shared" si="7"/>
        <v>105</v>
      </c>
      <c r="AA26" s="160">
        <f t="shared" si="0"/>
        <v>105</v>
      </c>
      <c r="AB26" s="161">
        <f t="shared" si="8"/>
        <v>190</v>
      </c>
    </row>
    <row r="27" spans="1:28" x14ac:dyDescent="0.25">
      <c r="C27" s="330"/>
      <c r="D27" s="330"/>
      <c r="F27" s="11">
        <v>2</v>
      </c>
      <c r="G27" s="342">
        <f>_xlfn.XLOOKUP(F27,$F$14:$F$18,$G$14:$G$18)</f>
        <v>19</v>
      </c>
      <c r="I27" s="685">
        <v>0.2</v>
      </c>
      <c r="K27" s="386">
        <v>101</v>
      </c>
      <c r="L27" s="386">
        <v>120</v>
      </c>
      <c r="M27" s="735">
        <f t="shared" si="2"/>
        <v>0.18811881188118812</v>
      </c>
      <c r="O27" s="386">
        <v>97</v>
      </c>
      <c r="P27" s="686">
        <f t="shared" si="3"/>
        <v>115</v>
      </c>
      <c r="Q27" s="735">
        <f t="shared" si="4"/>
        <v>0.18556701030927836</v>
      </c>
      <c r="S27" s="166"/>
      <c r="T27" s="167"/>
      <c r="U27" s="168"/>
      <c r="V27" s="169"/>
      <c r="W27" s="170" t="s">
        <v>198</v>
      </c>
      <c r="X27" s="171">
        <f t="shared" si="5"/>
        <v>120</v>
      </c>
      <c r="Y27" s="171">
        <f t="shared" si="6"/>
        <v>115</v>
      </c>
      <c r="Z27" s="171">
        <f t="shared" si="7"/>
        <v>165</v>
      </c>
      <c r="AA27" s="171">
        <f t="shared" si="0"/>
        <v>160</v>
      </c>
      <c r="AB27" s="172">
        <f t="shared" si="8"/>
        <v>305</v>
      </c>
    </row>
    <row r="28" spans="1:28" x14ac:dyDescent="0.25">
      <c r="B28" t="s">
        <v>6</v>
      </c>
      <c r="C28" s="148">
        <v>0.36509999999999998</v>
      </c>
      <c r="D28" s="148">
        <v>0.51</v>
      </c>
      <c r="E28" s="144"/>
      <c r="F28" s="11">
        <f t="shared" ref="F28:G30" si="9">F27</f>
        <v>2</v>
      </c>
      <c r="G28" s="332">
        <f t="shared" si="9"/>
        <v>19</v>
      </c>
      <c r="I28" s="685">
        <v>0.2</v>
      </c>
      <c r="K28" s="386">
        <v>77</v>
      </c>
      <c r="L28" s="386">
        <v>85</v>
      </c>
      <c r="M28" s="735">
        <f t="shared" si="2"/>
        <v>0.1038961038961039</v>
      </c>
      <c r="O28" s="386">
        <v>76</v>
      </c>
      <c r="P28" s="686">
        <f t="shared" si="3"/>
        <v>85</v>
      </c>
      <c r="Q28" s="735">
        <f t="shared" si="4"/>
        <v>0.11842105263157894</v>
      </c>
      <c r="S28" s="173" t="str">
        <f>_xlfn.CONCAT(TEXT($C28,"#.0000"),""""," to ",TEXT($D28,"#.000#"),"""")</f>
        <v>.3651" to .510"</v>
      </c>
      <c r="T28" s="174"/>
      <c r="U28" s="175" t="s">
        <v>603</v>
      </c>
      <c r="V28" s="175" t="s">
        <v>602</v>
      </c>
      <c r="W28" s="176" t="s">
        <v>197</v>
      </c>
      <c r="X28" s="175">
        <f t="shared" si="5"/>
        <v>85</v>
      </c>
      <c r="Y28" s="175">
        <f t="shared" si="6"/>
        <v>85</v>
      </c>
      <c r="Z28" s="175">
        <f t="shared" si="7"/>
        <v>125</v>
      </c>
      <c r="AA28" s="175">
        <f t="shared" si="0"/>
        <v>125</v>
      </c>
      <c r="AB28" s="177">
        <f t="shared" si="8"/>
        <v>225</v>
      </c>
    </row>
    <row r="29" spans="1:28" x14ac:dyDescent="0.25">
      <c r="B29" t="s">
        <v>585</v>
      </c>
      <c r="C29" s="149">
        <v>9.2710000000000008</v>
      </c>
      <c r="D29" s="149">
        <v>12.95</v>
      </c>
      <c r="E29" s="144"/>
      <c r="F29" s="11">
        <f t="shared" si="9"/>
        <v>2</v>
      </c>
      <c r="G29" s="332">
        <f t="shared" si="9"/>
        <v>19</v>
      </c>
      <c r="I29" s="685">
        <v>0.2</v>
      </c>
      <c r="K29" s="386">
        <v>70</v>
      </c>
      <c r="L29" s="386">
        <v>75</v>
      </c>
      <c r="M29" s="735">
        <f t="shared" si="2"/>
        <v>7.1428571428571425E-2</v>
      </c>
      <c r="O29" s="386">
        <v>69</v>
      </c>
      <c r="P29" s="686">
        <f t="shared" si="3"/>
        <v>75</v>
      </c>
      <c r="Q29" s="735">
        <f t="shared" si="4"/>
        <v>8.6956521739130432E-2</v>
      </c>
      <c r="S29" s="173" t="str">
        <f>_xlfn.CONCAT(TEXT($C29,"0.00#"),"mm"," to ",TEXT($D29,"0.00#"),"mm")</f>
        <v>9.271mm to 12.95mm</v>
      </c>
      <c r="T29" s="174"/>
      <c r="U29" s="178" t="s">
        <v>601</v>
      </c>
      <c r="V29" s="178" t="s">
        <v>600</v>
      </c>
      <c r="W29" s="176" t="s">
        <v>209</v>
      </c>
      <c r="X29" s="175">
        <f t="shared" si="5"/>
        <v>75</v>
      </c>
      <c r="Y29" s="175">
        <f t="shared" si="6"/>
        <v>75</v>
      </c>
      <c r="Z29" s="175">
        <f t="shared" si="7"/>
        <v>115</v>
      </c>
      <c r="AA29" s="175">
        <f t="shared" si="0"/>
        <v>115</v>
      </c>
      <c r="AB29" s="177">
        <f t="shared" si="8"/>
        <v>205</v>
      </c>
    </row>
    <row r="30" spans="1:28" x14ac:dyDescent="0.25">
      <c r="C30" s="148"/>
      <c r="D30" s="148"/>
      <c r="E30" s="144"/>
      <c r="F30" s="11">
        <f t="shared" si="9"/>
        <v>2</v>
      </c>
      <c r="G30" s="347">
        <f t="shared" si="9"/>
        <v>19</v>
      </c>
      <c r="I30" s="693">
        <v>0.2</v>
      </c>
      <c r="K30" s="687">
        <v>66</v>
      </c>
      <c r="L30" s="687">
        <v>70</v>
      </c>
      <c r="M30" s="736">
        <f t="shared" si="2"/>
        <v>6.0606060606060608E-2</v>
      </c>
      <c r="O30" s="687">
        <v>65</v>
      </c>
      <c r="P30" s="716">
        <f t="shared" si="3"/>
        <v>70</v>
      </c>
      <c r="Q30" s="736">
        <f t="shared" si="4"/>
        <v>7.6923076923076927E-2</v>
      </c>
      <c r="S30" s="179"/>
      <c r="T30" s="180"/>
      <c r="U30" s="181"/>
      <c r="V30" s="182"/>
      <c r="W30" s="183" t="s">
        <v>196</v>
      </c>
      <c r="X30" s="184">
        <f t="shared" si="5"/>
        <v>70</v>
      </c>
      <c r="Y30" s="184">
        <f t="shared" si="6"/>
        <v>70</v>
      </c>
      <c r="Z30" s="184">
        <f t="shared" si="7"/>
        <v>105</v>
      </c>
      <c r="AA30" s="184">
        <f t="shared" si="0"/>
        <v>105</v>
      </c>
      <c r="AB30" s="185">
        <f t="shared" si="8"/>
        <v>190</v>
      </c>
    </row>
    <row r="31" spans="1:28" x14ac:dyDescent="0.25">
      <c r="C31" s="330"/>
      <c r="D31" s="330"/>
      <c r="F31" s="11">
        <v>3</v>
      </c>
      <c r="G31" s="342">
        <f>_xlfn.XLOOKUP(F31,$F$14:$F$18,$G$14:$G$18)</f>
        <v>20</v>
      </c>
      <c r="I31" s="685">
        <v>0.2</v>
      </c>
      <c r="K31" s="386">
        <v>105</v>
      </c>
      <c r="L31" s="386">
        <v>125</v>
      </c>
      <c r="M31" s="735">
        <f t="shared" si="2"/>
        <v>0.19047619047619047</v>
      </c>
      <c r="O31" s="386">
        <v>104</v>
      </c>
      <c r="P31" s="686">
        <f>MROUND((1+$M31)*O31,5)</f>
        <v>125</v>
      </c>
      <c r="Q31" s="735">
        <f t="shared" si="4"/>
        <v>0.20192307692307693</v>
      </c>
      <c r="S31" s="157"/>
      <c r="U31" s="164"/>
      <c r="V31" s="165"/>
      <c r="W31" s="159" t="s">
        <v>198</v>
      </c>
      <c r="X31" s="160">
        <f t="shared" si="5"/>
        <v>125</v>
      </c>
      <c r="Y31" s="160">
        <f t="shared" si="6"/>
        <v>125</v>
      </c>
      <c r="Z31" s="160">
        <f t="shared" si="7"/>
        <v>175</v>
      </c>
      <c r="AA31" s="160">
        <f t="shared" si="0"/>
        <v>175</v>
      </c>
      <c r="AB31" s="161">
        <f t="shared" si="8"/>
        <v>325</v>
      </c>
    </row>
    <row r="32" spans="1:28" x14ac:dyDescent="0.25">
      <c r="B32" t="s">
        <v>6</v>
      </c>
      <c r="C32" s="148">
        <v>0.5101</v>
      </c>
      <c r="D32" s="148">
        <v>0.82499999999999996</v>
      </c>
      <c r="E32" s="144"/>
      <c r="F32" s="11">
        <f t="shared" ref="F32:G34" si="10">F31</f>
        <v>3</v>
      </c>
      <c r="G32" s="332">
        <f t="shared" si="10"/>
        <v>20</v>
      </c>
      <c r="I32" s="685">
        <v>0.2</v>
      </c>
      <c r="K32" s="386">
        <v>86</v>
      </c>
      <c r="L32" s="386">
        <v>95</v>
      </c>
      <c r="M32" s="735">
        <f>((L32-K32)/K32)</f>
        <v>0.10465116279069768</v>
      </c>
      <c r="O32" s="386">
        <v>83</v>
      </c>
      <c r="P32" s="686">
        <f t="shared" si="3"/>
        <v>90</v>
      </c>
      <c r="Q32" s="735">
        <f>((P32-O32)/O32)</f>
        <v>8.4337349397590355E-2</v>
      </c>
      <c r="S32" s="162" t="str">
        <f>_xlfn.CONCAT(TEXT($C32,"#.0000"),""""," to ",TEXT($D32,"#.000#"),"""")</f>
        <v>.5101" to .825"</v>
      </c>
      <c r="T32" s="163"/>
      <c r="U32" s="160" t="s">
        <v>599</v>
      </c>
      <c r="V32" s="160" t="s">
        <v>598</v>
      </c>
      <c r="W32" s="159" t="s">
        <v>197</v>
      </c>
      <c r="X32" s="160">
        <f t="shared" si="5"/>
        <v>95</v>
      </c>
      <c r="Y32" s="160">
        <f t="shared" si="6"/>
        <v>90</v>
      </c>
      <c r="Z32" s="160">
        <f t="shared" si="7"/>
        <v>140</v>
      </c>
      <c r="AA32" s="160">
        <f t="shared" si="0"/>
        <v>130</v>
      </c>
      <c r="AB32" s="161">
        <f t="shared" si="8"/>
        <v>245</v>
      </c>
    </row>
    <row r="33" spans="2:28" x14ac:dyDescent="0.25">
      <c r="B33" t="s">
        <v>585</v>
      </c>
      <c r="C33" s="149">
        <v>12.951000000000001</v>
      </c>
      <c r="D33" s="149">
        <v>20.96</v>
      </c>
      <c r="E33" s="144"/>
      <c r="F33" s="11">
        <f t="shared" si="10"/>
        <v>3</v>
      </c>
      <c r="G33" s="332">
        <f t="shared" si="10"/>
        <v>20</v>
      </c>
      <c r="I33" s="685">
        <v>0.2</v>
      </c>
      <c r="K33" s="386">
        <v>76</v>
      </c>
      <c r="L33" s="386">
        <v>80</v>
      </c>
      <c r="M33" s="735">
        <f t="shared" si="2"/>
        <v>5.2631578947368418E-2</v>
      </c>
      <c r="O33" s="386">
        <v>75</v>
      </c>
      <c r="P33" s="686">
        <f t="shared" si="3"/>
        <v>80</v>
      </c>
      <c r="Q33" s="735">
        <f t="shared" si="4"/>
        <v>6.6666666666666666E-2</v>
      </c>
      <c r="S33" s="162" t="str">
        <f>_xlfn.CONCAT(TEXT($C33,"0.00#"),"mm"," to ",TEXT($D33,"0.00#"),"mm")</f>
        <v>12.951mm to 20.96mm</v>
      </c>
      <c r="T33" s="163"/>
      <c r="U33" s="164" t="s">
        <v>597</v>
      </c>
      <c r="V33" s="164" t="s">
        <v>596</v>
      </c>
      <c r="W33" s="159" t="s">
        <v>209</v>
      </c>
      <c r="X33" s="160">
        <f t="shared" si="5"/>
        <v>80</v>
      </c>
      <c r="Y33" s="160">
        <f t="shared" si="6"/>
        <v>80</v>
      </c>
      <c r="Z33" s="160">
        <f t="shared" si="7"/>
        <v>120</v>
      </c>
      <c r="AA33" s="160">
        <f t="shared" si="0"/>
        <v>120</v>
      </c>
      <c r="AB33" s="161">
        <f t="shared" si="8"/>
        <v>215</v>
      </c>
    </row>
    <row r="34" spans="2:28" x14ac:dyDescent="0.25">
      <c r="C34" s="148"/>
      <c r="D34" s="148"/>
      <c r="E34" s="144"/>
      <c r="F34" s="11">
        <f t="shared" si="10"/>
        <v>3</v>
      </c>
      <c r="G34" s="347">
        <f t="shared" si="10"/>
        <v>20</v>
      </c>
      <c r="I34" s="693">
        <v>0.2</v>
      </c>
      <c r="K34" s="687">
        <v>73</v>
      </c>
      <c r="L34" s="687">
        <v>75</v>
      </c>
      <c r="M34" s="736">
        <f t="shared" si="2"/>
        <v>2.7397260273972601E-2</v>
      </c>
      <c r="O34" s="687">
        <v>70</v>
      </c>
      <c r="P34" s="716">
        <f t="shared" si="3"/>
        <v>70</v>
      </c>
      <c r="Q34" s="736">
        <f t="shared" si="4"/>
        <v>0</v>
      </c>
      <c r="S34" s="157"/>
      <c r="U34" s="164"/>
      <c r="V34" s="165"/>
      <c r="W34" s="159" t="s">
        <v>196</v>
      </c>
      <c r="X34" s="160">
        <f t="shared" si="5"/>
        <v>75</v>
      </c>
      <c r="Y34" s="160">
        <f t="shared" si="6"/>
        <v>70</v>
      </c>
      <c r="Z34" s="160">
        <f t="shared" si="7"/>
        <v>115</v>
      </c>
      <c r="AA34" s="160">
        <f t="shared" si="0"/>
        <v>110</v>
      </c>
      <c r="AB34" s="161">
        <f t="shared" si="8"/>
        <v>200</v>
      </c>
    </row>
    <row r="35" spans="2:28" x14ac:dyDescent="0.25">
      <c r="C35" s="330"/>
      <c r="D35" s="330"/>
      <c r="F35" s="11">
        <v>4</v>
      </c>
      <c r="G35" s="342">
        <f>_xlfn.XLOOKUP(F35,$F$14:$F$18,$G$14:$G$18)</f>
        <v>21</v>
      </c>
      <c r="I35" s="685">
        <v>0.2</v>
      </c>
      <c r="K35" s="386">
        <v>118</v>
      </c>
      <c r="L35" s="386">
        <v>140</v>
      </c>
      <c r="M35" s="735">
        <f t="shared" si="2"/>
        <v>0.1864406779661017</v>
      </c>
      <c r="O35" s="386">
        <v>110</v>
      </c>
      <c r="P35" s="686">
        <f t="shared" si="3"/>
        <v>130</v>
      </c>
      <c r="Q35" s="735">
        <f t="shared" si="4"/>
        <v>0.18181818181818182</v>
      </c>
      <c r="S35" s="166"/>
      <c r="T35" s="167"/>
      <c r="U35" s="168"/>
      <c r="V35" s="169"/>
      <c r="W35" s="170" t="s">
        <v>198</v>
      </c>
      <c r="X35" s="171">
        <f t="shared" si="5"/>
        <v>140</v>
      </c>
      <c r="Y35" s="171">
        <f t="shared" si="6"/>
        <v>130</v>
      </c>
      <c r="Z35" s="171">
        <f t="shared" si="7"/>
        <v>195</v>
      </c>
      <c r="AA35" s="171">
        <f t="shared" si="0"/>
        <v>180</v>
      </c>
      <c r="AB35" s="172">
        <f t="shared" si="8"/>
        <v>350</v>
      </c>
    </row>
    <row r="36" spans="2:28" x14ac:dyDescent="0.25">
      <c r="B36" t="s">
        <v>6</v>
      </c>
      <c r="C36" s="148">
        <v>0.82509999999999994</v>
      </c>
      <c r="D36" s="148">
        <v>1.135</v>
      </c>
      <c r="E36" s="144"/>
      <c r="F36" s="11">
        <f t="shared" ref="F36:G38" si="11">F35</f>
        <v>4</v>
      </c>
      <c r="G36" s="332">
        <f t="shared" si="11"/>
        <v>21</v>
      </c>
      <c r="I36" s="685">
        <v>0.2</v>
      </c>
      <c r="K36" s="386">
        <v>90</v>
      </c>
      <c r="L36" s="386">
        <v>110</v>
      </c>
      <c r="M36" s="735">
        <f t="shared" si="2"/>
        <v>0.22222222222222221</v>
      </c>
      <c r="O36" s="386">
        <v>84</v>
      </c>
      <c r="P36" s="686">
        <f t="shared" si="3"/>
        <v>105</v>
      </c>
      <c r="Q36" s="735">
        <f t="shared" si="4"/>
        <v>0.25</v>
      </c>
      <c r="S36" s="173" t="str">
        <f>_xlfn.CONCAT(TEXT($C36,"#.0000"),""""," to ",TEXT($D36,"#.000#"),"""")</f>
        <v>.8251" to 1.135"</v>
      </c>
      <c r="T36" s="174"/>
      <c r="U36" s="175" t="s">
        <v>595</v>
      </c>
      <c r="V36" s="175" t="s">
        <v>594</v>
      </c>
      <c r="W36" s="176" t="s">
        <v>197</v>
      </c>
      <c r="X36" s="175">
        <f t="shared" si="5"/>
        <v>110</v>
      </c>
      <c r="Y36" s="175">
        <f t="shared" si="6"/>
        <v>105</v>
      </c>
      <c r="Z36" s="175">
        <f t="shared" si="7"/>
        <v>155</v>
      </c>
      <c r="AA36" s="175">
        <f t="shared" si="0"/>
        <v>150</v>
      </c>
      <c r="AB36" s="177">
        <f t="shared" si="8"/>
        <v>285</v>
      </c>
    </row>
    <row r="37" spans="2:28" x14ac:dyDescent="0.25">
      <c r="B37" t="s">
        <v>585</v>
      </c>
      <c r="C37" s="149">
        <v>20.960999999999999</v>
      </c>
      <c r="D37" s="149">
        <v>28.83</v>
      </c>
      <c r="E37" s="144"/>
      <c r="F37" s="11">
        <f t="shared" si="11"/>
        <v>4</v>
      </c>
      <c r="G37" s="332">
        <f t="shared" si="11"/>
        <v>21</v>
      </c>
      <c r="I37" s="685">
        <v>0.2</v>
      </c>
      <c r="K37" s="386">
        <v>80</v>
      </c>
      <c r="L37" s="386">
        <v>95</v>
      </c>
      <c r="M37" s="735">
        <f t="shared" si="2"/>
        <v>0.1875</v>
      </c>
      <c r="O37" s="386">
        <v>79</v>
      </c>
      <c r="P37" s="686">
        <f t="shared" si="3"/>
        <v>95</v>
      </c>
      <c r="Q37" s="735">
        <f t="shared" si="4"/>
        <v>0.20253164556962025</v>
      </c>
      <c r="S37" s="173" t="str">
        <f>_xlfn.CONCAT(TEXT($C37,"0.00#"),"mm"," to ",TEXT($D37,"0.00#"),"mm")</f>
        <v>20.961mm to 28.83mm</v>
      </c>
      <c r="T37" s="174"/>
      <c r="U37" s="178" t="s">
        <v>593</v>
      </c>
      <c r="V37" s="178" t="s">
        <v>592</v>
      </c>
      <c r="W37" s="176" t="s">
        <v>209</v>
      </c>
      <c r="X37" s="175">
        <f t="shared" si="5"/>
        <v>95</v>
      </c>
      <c r="Y37" s="175">
        <f t="shared" si="6"/>
        <v>95</v>
      </c>
      <c r="Z37" s="175">
        <f t="shared" si="7"/>
        <v>140</v>
      </c>
      <c r="AA37" s="175">
        <f t="shared" si="0"/>
        <v>140</v>
      </c>
      <c r="AB37" s="177">
        <f t="shared" si="8"/>
        <v>255</v>
      </c>
    </row>
    <row r="38" spans="2:28" x14ac:dyDescent="0.25">
      <c r="C38" s="148"/>
      <c r="D38" s="148"/>
      <c r="E38" s="144"/>
      <c r="F38" s="11">
        <f t="shared" si="11"/>
        <v>4</v>
      </c>
      <c r="G38" s="347">
        <f t="shared" si="11"/>
        <v>21</v>
      </c>
      <c r="I38" s="693">
        <v>0.2</v>
      </c>
      <c r="K38" s="687">
        <v>75</v>
      </c>
      <c r="L38" s="687">
        <v>90</v>
      </c>
      <c r="M38" s="736">
        <f t="shared" si="2"/>
        <v>0.2</v>
      </c>
      <c r="O38" s="687">
        <v>73</v>
      </c>
      <c r="P38" s="716">
        <f t="shared" si="3"/>
        <v>90</v>
      </c>
      <c r="Q38" s="736">
        <f t="shared" si="4"/>
        <v>0.23287671232876711</v>
      </c>
      <c r="S38" s="179"/>
      <c r="T38" s="180"/>
      <c r="U38" s="181"/>
      <c r="V38" s="182"/>
      <c r="W38" s="183" t="s">
        <v>196</v>
      </c>
      <c r="X38" s="184">
        <f t="shared" si="5"/>
        <v>90</v>
      </c>
      <c r="Y38" s="184">
        <f t="shared" si="6"/>
        <v>90</v>
      </c>
      <c r="Z38" s="184">
        <f t="shared" si="7"/>
        <v>135</v>
      </c>
      <c r="AA38" s="184">
        <f t="shared" si="0"/>
        <v>135</v>
      </c>
      <c r="AB38" s="185">
        <f t="shared" si="8"/>
        <v>240</v>
      </c>
    </row>
    <row r="39" spans="2:28" x14ac:dyDescent="0.25">
      <c r="C39" s="330"/>
      <c r="D39" s="330"/>
      <c r="F39" s="11">
        <v>5</v>
      </c>
      <c r="G39" s="342">
        <f>_xlfn.XLOOKUP(F39,$F$14:$F$18,$G$14:$G$18)</f>
        <v>22</v>
      </c>
      <c r="I39" s="685">
        <v>0.2</v>
      </c>
      <c r="K39" s="386">
        <v>124</v>
      </c>
      <c r="L39" s="386">
        <v>160</v>
      </c>
      <c r="M39" s="735">
        <f t="shared" si="2"/>
        <v>0.29032258064516131</v>
      </c>
      <c r="O39" s="386">
        <v>121</v>
      </c>
      <c r="P39" s="686">
        <f t="shared" si="3"/>
        <v>155</v>
      </c>
      <c r="Q39" s="735">
        <f t="shared" si="4"/>
        <v>0.28099173553719009</v>
      </c>
      <c r="S39" s="157"/>
      <c r="U39" s="164"/>
      <c r="V39" s="165"/>
      <c r="W39" s="159" t="s">
        <v>198</v>
      </c>
      <c r="X39" s="160">
        <f t="shared" si="5"/>
        <v>160</v>
      </c>
      <c r="Y39" s="160">
        <f t="shared" si="6"/>
        <v>155</v>
      </c>
      <c r="Z39" s="160">
        <f t="shared" si="7"/>
        <v>220</v>
      </c>
      <c r="AA39" s="160">
        <f t="shared" si="0"/>
        <v>210</v>
      </c>
      <c r="AB39" s="161">
        <f t="shared" si="8"/>
        <v>405</v>
      </c>
    </row>
    <row r="40" spans="2:28" x14ac:dyDescent="0.25">
      <c r="B40" t="s">
        <v>6</v>
      </c>
      <c r="C40" s="148">
        <v>1.1351</v>
      </c>
      <c r="D40" s="148">
        <v>1.51</v>
      </c>
      <c r="E40" s="144"/>
      <c r="F40" s="11">
        <f t="shared" ref="F40:G42" si="12">F39</f>
        <v>5</v>
      </c>
      <c r="G40" s="332">
        <f t="shared" si="12"/>
        <v>22</v>
      </c>
      <c r="I40" s="685">
        <v>0.2</v>
      </c>
      <c r="K40" s="386">
        <v>97</v>
      </c>
      <c r="L40" s="386">
        <v>115</v>
      </c>
      <c r="M40" s="735">
        <f t="shared" si="2"/>
        <v>0.18556701030927836</v>
      </c>
      <c r="O40" s="386">
        <v>93</v>
      </c>
      <c r="P40" s="686">
        <f t="shared" si="3"/>
        <v>110</v>
      </c>
      <c r="Q40" s="735">
        <f t="shared" si="4"/>
        <v>0.18279569892473119</v>
      </c>
      <c r="S40" s="162" t="str">
        <f>_xlfn.CONCAT(TEXT($C40,"#.0000"),""""," to ",TEXT($D40,"#.000#"),"""")</f>
        <v>1.1351" to 1.510"</v>
      </c>
      <c r="T40" s="163"/>
      <c r="U40" s="160" t="s">
        <v>591</v>
      </c>
      <c r="V40" s="164" t="s">
        <v>590</v>
      </c>
      <c r="W40" s="159" t="s">
        <v>197</v>
      </c>
      <c r="X40" s="160">
        <f t="shared" si="5"/>
        <v>115</v>
      </c>
      <c r="Y40" s="160">
        <f t="shared" si="6"/>
        <v>110</v>
      </c>
      <c r="Z40" s="160">
        <f t="shared" si="7"/>
        <v>165</v>
      </c>
      <c r="AA40" s="160">
        <f t="shared" si="0"/>
        <v>160</v>
      </c>
      <c r="AB40" s="161">
        <f t="shared" si="8"/>
        <v>295</v>
      </c>
    </row>
    <row r="41" spans="2:28" x14ac:dyDescent="0.25">
      <c r="B41" t="s">
        <v>585</v>
      </c>
      <c r="C41" s="149">
        <v>28.831</v>
      </c>
      <c r="D41" s="149">
        <v>38.35</v>
      </c>
      <c r="E41" s="144"/>
      <c r="F41" s="11">
        <f t="shared" si="12"/>
        <v>5</v>
      </c>
      <c r="G41" s="332">
        <f t="shared" si="12"/>
        <v>22</v>
      </c>
      <c r="I41" s="685">
        <v>0.2</v>
      </c>
      <c r="K41" s="386">
        <v>91</v>
      </c>
      <c r="L41" s="386">
        <v>105</v>
      </c>
      <c r="M41" s="735">
        <f t="shared" si="2"/>
        <v>0.15384615384615385</v>
      </c>
      <c r="O41" s="386">
        <v>86</v>
      </c>
      <c r="P41" s="686">
        <f t="shared" si="3"/>
        <v>100</v>
      </c>
      <c r="Q41" s="735">
        <f t="shared" si="4"/>
        <v>0.16279069767441862</v>
      </c>
      <c r="S41" s="162" t="str">
        <f>_xlfn.CONCAT(TEXT($C41,"0.00#"),"mm"," to ",TEXT($D41,"0.00#"),"mm")</f>
        <v>28.831mm to 38.35mm</v>
      </c>
      <c r="T41" s="163"/>
      <c r="U41" s="164" t="s">
        <v>589</v>
      </c>
      <c r="V41" s="160" t="s">
        <v>588</v>
      </c>
      <c r="W41" s="159" t="s">
        <v>209</v>
      </c>
      <c r="X41" s="160">
        <f t="shared" si="5"/>
        <v>105</v>
      </c>
      <c r="Y41" s="160">
        <f t="shared" si="6"/>
        <v>100</v>
      </c>
      <c r="Z41" s="160">
        <f t="shared" si="7"/>
        <v>150</v>
      </c>
      <c r="AA41" s="160">
        <f t="shared" si="0"/>
        <v>145</v>
      </c>
      <c r="AB41" s="161">
        <f t="shared" si="8"/>
        <v>270</v>
      </c>
    </row>
    <row r="42" spans="2:28" ht="15.75" thickBot="1" x14ac:dyDescent="0.3">
      <c r="B42" s="144"/>
      <c r="C42" s="144"/>
      <c r="D42" s="144"/>
      <c r="E42" s="144"/>
      <c r="F42" s="11">
        <f t="shared" si="12"/>
        <v>5</v>
      </c>
      <c r="G42" s="347">
        <f t="shared" si="12"/>
        <v>22</v>
      </c>
      <c r="I42" s="693">
        <v>0.2</v>
      </c>
      <c r="K42" s="687">
        <v>80</v>
      </c>
      <c r="L42" s="687">
        <v>90</v>
      </c>
      <c r="M42" s="736">
        <f t="shared" si="2"/>
        <v>0.125</v>
      </c>
      <c r="O42" s="687">
        <v>77</v>
      </c>
      <c r="P42" s="716">
        <f t="shared" si="3"/>
        <v>85</v>
      </c>
      <c r="Q42" s="736">
        <f t="shared" si="4"/>
        <v>0.1038961038961039</v>
      </c>
      <c r="S42" s="186"/>
      <c r="T42" s="187"/>
      <c r="U42" s="188"/>
      <c r="V42" s="188"/>
      <c r="W42" s="189" t="s">
        <v>196</v>
      </c>
      <c r="X42" s="190">
        <f t="shared" si="5"/>
        <v>90</v>
      </c>
      <c r="Y42" s="190">
        <f t="shared" si="6"/>
        <v>85</v>
      </c>
      <c r="Z42" s="190">
        <f t="shared" si="7"/>
        <v>135</v>
      </c>
      <c r="AA42" s="190">
        <f t="shared" si="0"/>
        <v>130</v>
      </c>
      <c r="AB42" s="191">
        <f t="shared" si="8"/>
        <v>235</v>
      </c>
    </row>
    <row r="44" spans="2:28" x14ac:dyDescent="0.25">
      <c r="S44" t="s">
        <v>659</v>
      </c>
    </row>
    <row r="45" spans="2:28" x14ac:dyDescent="0.25">
      <c r="S45" s="145"/>
    </row>
    <row r="58" spans="1:1" x14ac:dyDescent="0.25">
      <c r="A58" s="50"/>
    </row>
  </sheetData>
  <sheetProtection algorithmName="SHA-512" hashValue="yDLMaPvU28wVdElQYq+MK+mSek33VsmwpFYXeSSEcUG0qk6LeYvWdHXDPKZC1giNqNFnQ47zwDzT+7JsM6v6rQ==" saltValue="lFFECN7d3QdX7Q+SIb2S1A==" spinCount="100000" sheet="1" objects="1" scenarios="1"/>
  <mergeCells count="2">
    <mergeCell ref="S21:T22"/>
    <mergeCell ref="W21:W22"/>
  </mergeCells>
  <conditionalFormatting sqref="S8:S11">
    <cfRule type="expression" dxfId="16" priority="1">
      <formula>#REF!="y"</formula>
    </cfRule>
  </conditionalFormatting>
  <pageMargins left="0.7" right="0.7" top="0.75" bottom="0.75" header="0.3" footer="0.3"/>
  <pageSetup scale="92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84F82-D135-4EB6-9CF5-7ED2D0A02F40}">
  <sheetPr>
    <tabColor rgb="FFFF0000"/>
  </sheetPr>
  <dimension ref="B2:N64"/>
  <sheetViews>
    <sheetView topLeftCell="A4" zoomScale="90" zoomScaleNormal="90" workbookViewId="0">
      <selection activeCell="L25" sqref="L25"/>
    </sheetView>
  </sheetViews>
  <sheetFormatPr defaultRowHeight="15" x14ac:dyDescent="0.25"/>
  <cols>
    <col min="1" max="1" width="1.7109375" customWidth="1"/>
    <col min="2" max="2" width="14.28515625" customWidth="1"/>
    <col min="3" max="3" width="37" customWidth="1"/>
    <col min="4" max="6" width="16" customWidth="1"/>
    <col min="7" max="7" width="2.7109375" customWidth="1"/>
    <col min="11" max="11" width="15.42578125" style="3" customWidth="1"/>
    <col min="12" max="12" width="17.28515625" customWidth="1"/>
    <col min="13" max="14" width="13.5703125" customWidth="1"/>
  </cols>
  <sheetData>
    <row r="2" spans="2:12" x14ac:dyDescent="0.25">
      <c r="B2" t="s">
        <v>706</v>
      </c>
    </row>
    <row r="3" spans="2:12" x14ac:dyDescent="0.25">
      <c r="B3" t="s">
        <v>911</v>
      </c>
    </row>
    <row r="4" spans="2:12" x14ac:dyDescent="0.25">
      <c r="B4" t="s">
        <v>750</v>
      </c>
    </row>
    <row r="5" spans="2:12" x14ac:dyDescent="0.25">
      <c r="B5" t="s">
        <v>749</v>
      </c>
    </row>
    <row r="6" spans="2:12" x14ac:dyDescent="0.25">
      <c r="B6" t="s">
        <v>751</v>
      </c>
    </row>
    <row r="7" spans="2:12" x14ac:dyDescent="0.25">
      <c r="B7" t="s">
        <v>1128</v>
      </c>
    </row>
    <row r="13" spans="2:12" x14ac:dyDescent="0.25">
      <c r="B13" s="989" t="s">
        <v>1123</v>
      </c>
      <c r="C13" s="989" t="s">
        <v>1124</v>
      </c>
      <c r="D13" s="636" t="s">
        <v>560</v>
      </c>
      <c r="E13" s="990" t="s">
        <v>632</v>
      </c>
      <c r="F13" s="990" t="s">
        <v>633</v>
      </c>
      <c r="K13"/>
    </row>
    <row r="14" spans="2:12" x14ac:dyDescent="0.25">
      <c r="B14" s="3"/>
      <c r="C14" s="3"/>
      <c r="E14" s="488"/>
      <c r="F14" s="488"/>
      <c r="K14"/>
    </row>
    <row r="15" spans="2:12" x14ac:dyDescent="0.25">
      <c r="B15" s="2">
        <v>215</v>
      </c>
      <c r="C15" s="944" t="str">
        <f>_xlfn.XLOOKUP(B15,'Discount Groups'!$B$6:$B$92,'Discount Groups'!$C$6:$C$92,0)</f>
        <v>Black Ox ZZ Go/NoGo Assy</v>
      </c>
      <c r="D15" s="13" t="s">
        <v>924</v>
      </c>
      <c r="E15" s="488"/>
      <c r="F15" s="488">
        <v>0.35</v>
      </c>
      <c r="L15" s="3"/>
    </row>
    <row r="16" spans="2:12" x14ac:dyDescent="0.25">
      <c r="B16" s="2">
        <v>216</v>
      </c>
      <c r="C16" s="944" t="str">
        <f>_xlfn.XLOOKUP(B16,'Discount Groups'!$B$6:$B$92,'Discount Groups'!$C$6:$C$92,0)</f>
        <v>Black Ox ZZ Single-End Assy</v>
      </c>
      <c r="D16" s="13" t="s">
        <v>924</v>
      </c>
      <c r="E16" s="488"/>
      <c r="F16" s="488">
        <v>0.35</v>
      </c>
      <c r="L16" s="3"/>
    </row>
    <row r="17" spans="2:12" x14ac:dyDescent="0.25">
      <c r="B17" s="2"/>
      <c r="C17" s="944"/>
      <c r="D17" s="13"/>
      <c r="E17" s="488"/>
      <c r="F17" s="488"/>
      <c r="L17" s="3"/>
    </row>
    <row r="18" spans="2:12" x14ac:dyDescent="0.25">
      <c r="B18" s="2">
        <v>220</v>
      </c>
      <c r="C18" s="944" t="str">
        <f>_xlfn.XLOOKUP(B18,'Discount Groups'!$B$6:$B$92,'Discount Groups'!$C$6:$C$92,0)</f>
        <v>Class Z Go/NoGo Assy</v>
      </c>
      <c r="D18" s="13" t="s">
        <v>924</v>
      </c>
      <c r="E18" s="488"/>
      <c r="F18" s="488">
        <v>0.35</v>
      </c>
      <c r="L18" s="3"/>
    </row>
    <row r="19" spans="2:12" x14ac:dyDescent="0.25">
      <c r="B19" s="2">
        <v>225</v>
      </c>
      <c r="C19" s="944" t="str">
        <f>_xlfn.XLOOKUP(B19,'Discount Groups'!$B$6:$B$92,'Discount Groups'!$C$6:$C$92,0)</f>
        <v>Class Z Single-End Assy</v>
      </c>
      <c r="D19" s="13" t="s">
        <v>924</v>
      </c>
      <c r="E19" s="488"/>
      <c r="F19" s="488">
        <v>0.35</v>
      </c>
      <c r="L19" s="3"/>
    </row>
    <row r="20" spans="2:12" x14ac:dyDescent="0.25">
      <c r="B20" s="2">
        <v>240</v>
      </c>
      <c r="C20" s="944" t="str">
        <f>_xlfn.XLOOKUP(B20,'Discount Groups'!$B$6:$B$92,'Discount Groups'!$C$6:$C$92,0)</f>
        <v>Metric Class Z Go/NoGo Assy</v>
      </c>
      <c r="D20" s="13" t="s">
        <v>924</v>
      </c>
      <c r="E20" s="488"/>
      <c r="F20" s="488">
        <v>0.35</v>
      </c>
      <c r="L20" s="3"/>
    </row>
    <row r="21" spans="2:12" x14ac:dyDescent="0.25">
      <c r="B21" s="2">
        <v>245</v>
      </c>
      <c r="C21" s="944" t="str">
        <f>_xlfn.XLOOKUP(B21,'Discount Groups'!$B$6:$B$92,'Discount Groups'!$C$6:$C$92,0)</f>
        <v>Metric Class Z Single-End Assy</v>
      </c>
      <c r="D21" s="13" t="s">
        <v>924</v>
      </c>
      <c r="E21" s="488"/>
      <c r="F21" s="488">
        <v>0.35</v>
      </c>
      <c r="L21" s="3"/>
    </row>
    <row r="22" spans="2:12" x14ac:dyDescent="0.25">
      <c r="B22" s="2"/>
      <c r="C22" s="944"/>
      <c r="D22" s="13"/>
      <c r="E22" s="488"/>
      <c r="F22" s="488"/>
      <c r="L22" s="3"/>
    </row>
    <row r="23" spans="2:12" x14ac:dyDescent="0.25">
      <c r="B23" s="2">
        <v>230</v>
      </c>
      <c r="C23" s="944" t="str">
        <f>_xlfn.XLOOKUP(B23,'Discount Groups'!$B$6:$B$92,'Discount Groups'!$C$6:$C$92,0)</f>
        <v>Class X Go/NoGo Assy</v>
      </c>
      <c r="D23" s="13" t="s">
        <v>924</v>
      </c>
      <c r="E23" s="488"/>
      <c r="F23" s="488"/>
      <c r="L23" s="3"/>
    </row>
    <row r="24" spans="2:12" x14ac:dyDescent="0.25">
      <c r="B24" s="2">
        <v>235</v>
      </c>
      <c r="C24" s="944" t="str">
        <f>_xlfn.XLOOKUP(B24,'Discount Groups'!$B$6:$B$92,'Discount Groups'!$C$6:$C$92,0)</f>
        <v>Class X Single-End Assy</v>
      </c>
      <c r="D24" s="13" t="s">
        <v>924</v>
      </c>
      <c r="E24" s="488"/>
      <c r="F24" s="488"/>
      <c r="L24" s="3"/>
    </row>
    <row r="25" spans="2:12" x14ac:dyDescent="0.25">
      <c r="B25" s="2">
        <v>250</v>
      </c>
      <c r="C25" s="944" t="str">
        <f>_xlfn.XLOOKUP(B25,'Discount Groups'!$B$6:$B$92,'Discount Groups'!$C$6:$C$92,0)</f>
        <v>Metric Class X Go/NoGo Assy</v>
      </c>
      <c r="D25" s="13" t="s">
        <v>924</v>
      </c>
      <c r="E25" s="488"/>
      <c r="F25" s="488"/>
      <c r="L25" s="3"/>
    </row>
    <row r="26" spans="2:12" x14ac:dyDescent="0.25">
      <c r="B26" s="2">
        <v>255</v>
      </c>
      <c r="C26" s="944" t="str">
        <f>_xlfn.XLOOKUP(B26,'Discount Groups'!$B$6:$B$92,'Discount Groups'!$C$6:$C$92,0)</f>
        <v>Metric Class X Single-End Assy</v>
      </c>
      <c r="D26" s="13" t="s">
        <v>924</v>
      </c>
      <c r="E26" s="488"/>
      <c r="F26" s="488"/>
      <c r="L26" s="3"/>
    </row>
    <row r="27" spans="2:12" x14ac:dyDescent="0.25">
      <c r="B27" s="2"/>
      <c r="C27" s="944"/>
      <c r="D27" s="13"/>
      <c r="E27" s="488"/>
      <c r="F27" s="488"/>
      <c r="L27" s="3"/>
    </row>
    <row r="28" spans="2:12" x14ac:dyDescent="0.25">
      <c r="B28" s="2">
        <v>236</v>
      </c>
      <c r="C28" s="944" t="str">
        <f>_xlfn.XLOOKUP(B28,'Discount Groups'!$B$6:$B$92,'Discount Groups'!$C$6:$C$92,0)</f>
        <v>Class XX Go/NoGo Assy</v>
      </c>
      <c r="D28" s="13" t="s">
        <v>924</v>
      </c>
      <c r="E28" s="488"/>
      <c r="F28" s="488"/>
      <c r="L28" s="3"/>
    </row>
    <row r="29" spans="2:12" x14ac:dyDescent="0.25">
      <c r="B29" s="2">
        <v>237</v>
      </c>
      <c r="C29" s="944" t="str">
        <f>_xlfn.XLOOKUP(B29,'Discount Groups'!$B$6:$B$92,'Discount Groups'!$C$6:$C$92,0)</f>
        <v>Class XX Single-End Assy</v>
      </c>
      <c r="D29" s="13" t="s">
        <v>924</v>
      </c>
      <c r="E29" s="488"/>
      <c r="F29" s="488"/>
      <c r="L29" s="3"/>
    </row>
    <row r="30" spans="2:12" x14ac:dyDescent="0.25">
      <c r="B30" s="2">
        <v>256</v>
      </c>
      <c r="C30" s="944" t="str">
        <f>_xlfn.XLOOKUP(B30,'Discount Groups'!$B$6:$B$92,'Discount Groups'!$C$6:$C$92,0)</f>
        <v>Metric Class XX Go/NoGo Assy</v>
      </c>
      <c r="D30" s="13" t="s">
        <v>924</v>
      </c>
      <c r="E30" s="488"/>
      <c r="F30" s="488"/>
      <c r="L30" s="3"/>
    </row>
    <row r="31" spans="2:12" x14ac:dyDescent="0.25">
      <c r="B31" s="2">
        <v>257</v>
      </c>
      <c r="C31" s="944" t="str">
        <f>_xlfn.XLOOKUP(B31,'Discount Groups'!$B$6:$B$92,'Discount Groups'!$C$6:$C$92,0)</f>
        <v>Metric Class XX Single-End Assy</v>
      </c>
      <c r="D31" s="13" t="s">
        <v>924</v>
      </c>
      <c r="E31" s="488"/>
      <c r="F31" s="488"/>
      <c r="L31" s="3"/>
    </row>
    <row r="32" spans="2:12" x14ac:dyDescent="0.25">
      <c r="B32" s="3"/>
      <c r="C32" s="3"/>
      <c r="E32" s="488"/>
      <c r="F32" s="488"/>
      <c r="L32" s="3"/>
    </row>
    <row r="33" spans="2:14" x14ac:dyDescent="0.25">
      <c r="B33" s="2">
        <v>320</v>
      </c>
      <c r="C33" s="944" t="str">
        <f>_xlfn.XLOOKUP(B33,'Discount Groups'!$B$6:$B$92,'Discount Groups'!$C$6:$C$92,0)</f>
        <v>Certifications</v>
      </c>
      <c r="D33" s="13" t="s">
        <v>924</v>
      </c>
      <c r="E33" s="488">
        <v>0.2</v>
      </c>
      <c r="F33" s="488">
        <v>0.15</v>
      </c>
      <c r="M33" s="670"/>
    </row>
    <row r="34" spans="2:14" x14ac:dyDescent="0.25">
      <c r="B34" s="2"/>
      <c r="C34" s="944"/>
      <c r="D34" s="13"/>
      <c r="E34" s="488"/>
      <c r="F34" s="488"/>
      <c r="M34" s="670"/>
    </row>
    <row r="35" spans="2:14" x14ac:dyDescent="0.25">
      <c r="B35" s="2">
        <v>210</v>
      </c>
      <c r="C35" s="944" t="str">
        <f>_xlfn.XLOOKUP(B35,'Discount Groups'!$B$6:$B$92,'Discount Groups'!$C$6:$C$92,0)</f>
        <v>Class X MG-25 Series</v>
      </c>
      <c r="D35" s="13" t="s">
        <v>925</v>
      </c>
      <c r="E35" s="488">
        <v>0.25</v>
      </c>
      <c r="F35" s="488">
        <v>0.2</v>
      </c>
      <c r="H35" s="670" t="s">
        <v>757</v>
      </c>
      <c r="M35" s="670"/>
    </row>
    <row r="36" spans="2:14" x14ac:dyDescent="0.25">
      <c r="B36" s="2">
        <v>220</v>
      </c>
      <c r="C36" s="944" t="str">
        <f>_xlfn.XLOOKUP(B36,'Discount Groups'!$B$6:$B$92,'Discount Groups'!$C$6:$C$92,0)</f>
        <v>Class Z Go/NoGo Assy</v>
      </c>
      <c r="D36" s="13" t="s">
        <v>925</v>
      </c>
      <c r="E36" s="488">
        <v>0.45</v>
      </c>
      <c r="F36" s="488">
        <v>0.35</v>
      </c>
      <c r="H36" s="670"/>
    </row>
    <row r="37" spans="2:14" x14ac:dyDescent="0.25">
      <c r="B37" s="2">
        <v>240</v>
      </c>
      <c r="C37" s="944" t="str">
        <f>_xlfn.XLOOKUP(B37,'Discount Groups'!$B$6:$B$92,'Discount Groups'!$C$6:$C$92,0)</f>
        <v>Metric Class Z Go/NoGo Assy</v>
      </c>
      <c r="D37" s="13" t="s">
        <v>925</v>
      </c>
      <c r="E37" s="488">
        <v>0.45</v>
      </c>
      <c r="F37" s="488">
        <v>0.35</v>
      </c>
      <c r="H37" s="670"/>
    </row>
    <row r="38" spans="2:14" x14ac:dyDescent="0.25">
      <c r="B38" s="2">
        <v>260</v>
      </c>
      <c r="C38" s="944" t="str">
        <f>_xlfn.XLOOKUP(B38,'Discount Groups'!$B$6:$B$92,'Discount Groups'!$C$6:$C$92,0)</f>
        <v>Handles</v>
      </c>
      <c r="D38" s="13" t="s">
        <v>925</v>
      </c>
      <c r="E38" s="488">
        <v>0.4</v>
      </c>
      <c r="F38" s="488">
        <v>0.3</v>
      </c>
      <c r="H38" s="670"/>
    </row>
    <row r="39" spans="2:14" x14ac:dyDescent="0.25">
      <c r="B39" s="2">
        <v>270</v>
      </c>
      <c r="C39" s="944" t="str">
        <f>_xlfn.XLOOKUP(B39,'Discount Groups'!$B$6:$B$92,'Discount Groups'!$C$6:$C$92,0)</f>
        <v>Bushings</v>
      </c>
      <c r="D39" s="13" t="s">
        <v>925</v>
      </c>
      <c r="E39" s="488"/>
      <c r="F39" s="488"/>
      <c r="H39" s="670"/>
    </row>
    <row r="40" spans="2:14" x14ac:dyDescent="0.25">
      <c r="B40" s="2">
        <v>280</v>
      </c>
      <c r="C40" s="944" t="str">
        <f>_xlfn.XLOOKUP(B40,'Discount Groups'!$B$6:$B$92,'Discount Groups'!$C$6:$C$92,0)</f>
        <v>Gage Set Cases, Inserts, and Accessories</v>
      </c>
      <c r="D40" s="13" t="s">
        <v>925</v>
      </c>
      <c r="E40" s="488">
        <v>0.3</v>
      </c>
      <c r="F40" s="488">
        <v>0.2</v>
      </c>
      <c r="H40" s="670"/>
    </row>
    <row r="41" spans="2:14" x14ac:dyDescent="0.25">
      <c r="B41" s="2">
        <v>320</v>
      </c>
      <c r="C41" s="944" t="str">
        <f>_xlfn.XLOOKUP(B41,'Discount Groups'!$B$6:$B$92,'Discount Groups'!$C$6:$C$92,0)</f>
        <v>Certifications</v>
      </c>
      <c r="D41" s="13" t="s">
        <v>925</v>
      </c>
      <c r="E41" s="488">
        <v>0.2</v>
      </c>
      <c r="F41" s="488">
        <v>0.15</v>
      </c>
      <c r="H41" s="670"/>
    </row>
    <row r="42" spans="2:14" x14ac:dyDescent="0.25">
      <c r="B42" s="2"/>
      <c r="C42" s="944"/>
      <c r="D42" s="13"/>
      <c r="E42" s="488"/>
      <c r="F42" s="488"/>
      <c r="H42" s="670"/>
    </row>
    <row r="43" spans="2:14" x14ac:dyDescent="0.25">
      <c r="B43" s="2">
        <v>160</v>
      </c>
      <c r="C43" s="944" t="str">
        <f>_xlfn.XLOOKUP(B43,'Discount Groups'!$B$6:$B$92,'Discount Groups'!$C$6:$C$92,0)</f>
        <v>Class X Sets</v>
      </c>
      <c r="D43" s="13" t="s">
        <v>897</v>
      </c>
      <c r="E43" s="488">
        <v>0.25</v>
      </c>
      <c r="F43" s="991">
        <v>0.2</v>
      </c>
      <c r="H43" s="670"/>
      <c r="K43"/>
    </row>
    <row r="44" spans="2:14" x14ac:dyDescent="0.25">
      <c r="B44" s="2">
        <v>270</v>
      </c>
      <c r="C44" s="944" t="str">
        <f>_xlfn.XLOOKUP(B44,'Discount Groups'!$B$6:$B$92,'Discount Groups'!$C$6:$C$92,0)</f>
        <v>Bushings</v>
      </c>
      <c r="D44" s="13" t="s">
        <v>897</v>
      </c>
      <c r="E44" s="488">
        <v>0.3</v>
      </c>
      <c r="F44" s="992">
        <v>0.25</v>
      </c>
      <c r="H44" s="670"/>
      <c r="K44"/>
    </row>
    <row r="45" spans="2:14" x14ac:dyDescent="0.25">
      <c r="B45" s="2">
        <v>280</v>
      </c>
      <c r="C45" s="944" t="str">
        <f>_xlfn.XLOOKUP(B45,'Discount Groups'!$B$6:$B$92,'Discount Groups'!$C$6:$C$92,0)</f>
        <v>Gage Set Cases, Inserts, and Accessories</v>
      </c>
      <c r="D45" s="13" t="s">
        <v>897</v>
      </c>
      <c r="E45" s="488">
        <v>0.4</v>
      </c>
      <c r="F45" s="992">
        <v>0.3</v>
      </c>
      <c r="K45"/>
    </row>
    <row r="46" spans="2:14" x14ac:dyDescent="0.25">
      <c r="B46" s="2">
        <v>320</v>
      </c>
      <c r="C46" s="944" t="str">
        <f>_xlfn.XLOOKUP(B46,'Discount Groups'!$B$6:$B$92,'Discount Groups'!$C$6:$C$92,0)</f>
        <v>Certifications</v>
      </c>
      <c r="D46" s="13" t="s">
        <v>897</v>
      </c>
      <c r="E46" s="488">
        <v>0.2</v>
      </c>
      <c r="F46" s="992">
        <v>0.15</v>
      </c>
      <c r="M46" s="488"/>
      <c r="N46" s="488"/>
    </row>
    <row r="47" spans="2:14" x14ac:dyDescent="0.25">
      <c r="B47" s="2"/>
      <c r="C47" s="2"/>
      <c r="D47" s="13"/>
      <c r="E47" s="488"/>
      <c r="F47" s="488"/>
      <c r="M47" s="488"/>
      <c r="N47" s="488"/>
    </row>
    <row r="48" spans="2:14" x14ac:dyDescent="0.25">
      <c r="M48" s="488"/>
      <c r="N48" s="488"/>
    </row>
    <row r="49" spans="2:14" x14ac:dyDescent="0.25">
      <c r="M49" s="488"/>
      <c r="N49" s="488"/>
    </row>
    <row r="50" spans="2:14" x14ac:dyDescent="0.25">
      <c r="B50" s="636" t="s">
        <v>705</v>
      </c>
      <c r="C50" s="636"/>
      <c r="M50" s="488"/>
      <c r="N50" s="488"/>
    </row>
    <row r="51" spans="2:14" x14ac:dyDescent="0.25">
      <c r="M51" s="488"/>
      <c r="N51" s="488"/>
    </row>
    <row r="52" spans="2:14" x14ac:dyDescent="0.25">
      <c r="B52" s="506" t="s">
        <v>752</v>
      </c>
      <c r="C52" s="506"/>
      <c r="M52" s="488"/>
      <c r="N52" s="488"/>
    </row>
    <row r="53" spans="2:14" x14ac:dyDescent="0.25">
      <c r="B53" s="506" t="s">
        <v>753</v>
      </c>
      <c r="C53" s="506"/>
      <c r="M53" s="488"/>
      <c r="N53" s="488"/>
    </row>
    <row r="54" spans="2:14" x14ac:dyDescent="0.25">
      <c r="B54" s="506" t="s">
        <v>676</v>
      </c>
      <c r="C54" s="506"/>
      <c r="M54" s="488"/>
      <c r="N54" s="488"/>
    </row>
    <row r="55" spans="2:14" x14ac:dyDescent="0.25">
      <c r="B55" s="506" t="s">
        <v>673</v>
      </c>
      <c r="C55" s="506"/>
    </row>
    <row r="56" spans="2:14" x14ac:dyDescent="0.25">
      <c r="B56" s="506" t="s">
        <v>674</v>
      </c>
      <c r="C56" s="506"/>
    </row>
    <row r="57" spans="2:14" x14ac:dyDescent="0.25">
      <c r="B57" s="506" t="s">
        <v>682</v>
      </c>
      <c r="C57" s="506"/>
    </row>
    <row r="58" spans="2:14" x14ac:dyDescent="0.25">
      <c r="B58" s="506" t="s">
        <v>677</v>
      </c>
      <c r="C58" s="506"/>
    </row>
    <row r="59" spans="2:14" x14ac:dyDescent="0.25">
      <c r="B59" s="506" t="s">
        <v>896</v>
      </c>
      <c r="C59" s="506"/>
    </row>
    <row r="60" spans="2:14" x14ac:dyDescent="0.25">
      <c r="B60" s="506"/>
      <c r="C60" s="506"/>
    </row>
    <row r="61" spans="2:14" x14ac:dyDescent="0.25">
      <c r="B61" s="506"/>
      <c r="C61" s="506"/>
    </row>
    <row r="62" spans="2:14" x14ac:dyDescent="0.25">
      <c r="B62" s="506"/>
      <c r="C62" s="506"/>
    </row>
    <row r="63" spans="2:14" x14ac:dyDescent="0.25">
      <c r="B63" s="506"/>
      <c r="C63" s="506"/>
    </row>
    <row r="64" spans="2:14" x14ac:dyDescent="0.25">
      <c r="B64" s="506"/>
      <c r="C64" s="506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5507A-C08A-4313-B40F-1FF8E821A7C4}">
  <sheetPr codeName="Sheet20">
    <outlinePr summaryBelow="0"/>
    <pageSetUpPr autoPageBreaks="0" fitToPage="1"/>
  </sheetPr>
  <dimension ref="A1:AG59"/>
  <sheetViews>
    <sheetView showGridLines="0" zoomScale="90" zoomScaleNormal="90" workbookViewId="0">
      <selection activeCell="U67" sqref="U67"/>
    </sheetView>
  </sheetViews>
  <sheetFormatPr defaultRowHeight="15" outlineLevelRow="1" outlineLevelCol="1" x14ac:dyDescent="0.25"/>
  <cols>
    <col min="1" max="2" width="1.7109375" customWidth="1"/>
    <col min="3" max="3" width="9.28515625" hidden="1" customWidth="1" outlineLevel="1"/>
    <col min="4" max="5" width="10.140625" hidden="1" customWidth="1" outlineLevel="1"/>
    <col min="6" max="6" width="1.7109375" hidden="1" customWidth="1" outlineLevel="1"/>
    <col min="7" max="7" width="10.42578125" hidden="1" customWidth="1" outlineLevel="1"/>
    <col min="8" max="8" width="10.42578125" style="11" hidden="1" customWidth="1" outlineLevel="1"/>
    <col min="9" max="9" width="10.42578125" hidden="1" customWidth="1" outlineLevel="1"/>
    <col min="10" max="10" width="1.7109375" hidden="1" customWidth="1" outlineLevel="1"/>
    <col min="11" max="11" width="11.7109375" hidden="1" customWidth="1" outlineLevel="1"/>
    <col min="12" max="12" width="1.7109375" hidden="1" customWidth="1" outlineLevel="1"/>
    <col min="13" max="15" width="12.28515625" hidden="1" customWidth="1" outlineLevel="1"/>
    <col min="16" max="16" width="1.7109375" style="694" hidden="1" customWidth="1" outlineLevel="1"/>
    <col min="17" max="18" width="10.85546875" hidden="1" customWidth="1" outlineLevel="1"/>
    <col min="19" max="19" width="12.28515625" hidden="1" customWidth="1" outlineLevel="1"/>
    <col min="20" max="20" width="1.7109375" style="694" hidden="1" customWidth="1" outlineLevel="1"/>
    <col min="21" max="21" width="13.7109375" customWidth="1" collapsed="1"/>
    <col min="22" max="22" width="13.7109375" customWidth="1"/>
    <col min="23" max="25" width="14.5703125" style="11" customWidth="1"/>
    <col min="26" max="30" width="14.5703125" customWidth="1"/>
  </cols>
  <sheetData>
    <row r="1" spans="3:22" ht="5.0999999999999996" customHeight="1" x14ac:dyDescent="0.25"/>
    <row r="2" spans="3:22" ht="21" x14ac:dyDescent="0.35">
      <c r="U2" s="1" t="s">
        <v>217</v>
      </c>
      <c r="V2" s="142"/>
    </row>
    <row r="3" spans="3:22" ht="18.75" collapsed="1" x14ac:dyDescent="0.3">
      <c r="U3" s="569" t="s">
        <v>663</v>
      </c>
      <c r="V3" s="142"/>
    </row>
    <row r="4" spans="3:22" ht="18.75" hidden="1" outlineLevel="1" x14ac:dyDescent="0.3">
      <c r="C4" s="743" t="s">
        <v>893</v>
      </c>
      <c r="D4" s="743" t="s">
        <v>894</v>
      </c>
      <c r="K4" t="s">
        <v>716</v>
      </c>
      <c r="V4" s="142"/>
    </row>
    <row r="5" spans="3:22" ht="18.75" hidden="1" outlineLevel="1" x14ac:dyDescent="0.3">
      <c r="C5" s="2">
        <v>300</v>
      </c>
      <c r="D5" s="2" t="s">
        <v>857</v>
      </c>
      <c r="V5" s="142"/>
    </row>
    <row r="6" spans="3:22" ht="18.75" hidden="1" outlineLevel="1" x14ac:dyDescent="0.3">
      <c r="V6" s="142"/>
    </row>
    <row r="7" spans="3:22" x14ac:dyDescent="0.25">
      <c r="U7" s="35"/>
      <c r="V7" s="18"/>
    </row>
    <row r="8" spans="3:22" x14ac:dyDescent="0.25">
      <c r="C8" s="511" t="s">
        <v>648</v>
      </c>
      <c r="D8" s="515" t="s">
        <v>657</v>
      </c>
      <c r="E8" s="516"/>
      <c r="H8" s="518"/>
      <c r="I8" s="518"/>
      <c r="N8" s="516"/>
      <c r="O8" s="516"/>
      <c r="U8" s="511" t="str">
        <f>_xlfn.CONCAT($C$8,"  ",D8)</f>
        <v>•  Class XX, X, Y, or Z</v>
      </c>
      <c r="V8" s="18"/>
    </row>
    <row r="9" spans="3:22" x14ac:dyDescent="0.25">
      <c r="C9" s="80"/>
      <c r="D9" s="13" t="s">
        <v>679</v>
      </c>
      <c r="E9" s="516"/>
      <c r="H9" s="518"/>
      <c r="I9" s="518"/>
      <c r="N9" s="516"/>
      <c r="O9" s="516"/>
      <c r="U9" s="511" t="str">
        <f>_xlfn.CONCAT($C$8,"  ",D9)</f>
        <v>•  Go (Plus), NoGo (Minus), or Master* (Bilateral) tolerance</v>
      </c>
      <c r="V9" s="18"/>
    </row>
    <row r="10" spans="3:22" x14ac:dyDescent="0.25">
      <c r="C10" s="516"/>
      <c r="D10" s="13" t="s">
        <v>492</v>
      </c>
      <c r="E10" s="516"/>
      <c r="I10" s="11"/>
      <c r="N10" s="516"/>
      <c r="O10" s="32"/>
      <c r="U10" s="511" t="str">
        <f>_xlfn.CONCAT($C$8,"  ",D10)</f>
        <v>•  Available in steel only</v>
      </c>
      <c r="V10" s="18"/>
    </row>
    <row r="11" spans="3:22" collapsed="1" x14ac:dyDescent="0.25">
      <c r="C11" s="143"/>
      <c r="D11" s="89" t="s">
        <v>670</v>
      </c>
      <c r="E11" s="143"/>
      <c r="N11" s="143"/>
      <c r="O11" s="143"/>
      <c r="U11" s="511" t="str">
        <f>_xlfn.CONCAT($C$8,"  ",D11)</f>
        <v>•  Custom marking available – $15 per handle flat</v>
      </c>
    </row>
    <row r="12" spans="3:22" hidden="1" outlineLevel="1" x14ac:dyDescent="0.25">
      <c r="C12" s="143"/>
      <c r="D12" s="89"/>
      <c r="E12" s="143"/>
      <c r="F12" s="143"/>
      <c r="G12" s="143"/>
      <c r="U12" s="511"/>
    </row>
    <row r="13" spans="3:22" hidden="1" outlineLevel="1" x14ac:dyDescent="0.25">
      <c r="C13" s="143"/>
      <c r="D13" s="89"/>
      <c r="E13" s="143"/>
      <c r="F13" s="143"/>
      <c r="G13" s="143"/>
      <c r="U13" s="511"/>
    </row>
    <row r="14" spans="3:22" hidden="1" outlineLevel="1" x14ac:dyDescent="0.25">
      <c r="C14" s="143"/>
      <c r="D14" s="89"/>
      <c r="E14" s="143"/>
      <c r="F14" s="143"/>
      <c r="G14" s="143"/>
      <c r="H14" s="11" t="s">
        <v>614</v>
      </c>
      <c r="I14" s="11" t="s">
        <v>615</v>
      </c>
      <c r="U14" s="511"/>
    </row>
    <row r="15" spans="3:22" hidden="1" outlineLevel="1" x14ac:dyDescent="0.25">
      <c r="C15" s="143"/>
      <c r="D15" s="89"/>
      <c r="E15" s="143"/>
      <c r="F15" s="143"/>
      <c r="G15" s="341">
        <v>2.5</v>
      </c>
      <c r="H15" s="758">
        <v>19</v>
      </c>
      <c r="I15" s="758">
        <v>21</v>
      </c>
      <c r="U15" s="511"/>
    </row>
    <row r="16" spans="3:22" hidden="1" outlineLevel="1" x14ac:dyDescent="0.25">
      <c r="C16" s="143"/>
      <c r="D16" s="89"/>
      <c r="E16" s="143"/>
      <c r="F16" s="143"/>
      <c r="G16" s="341">
        <v>3.5</v>
      </c>
      <c r="H16" s="758">
        <v>20</v>
      </c>
      <c r="I16" s="758">
        <v>22</v>
      </c>
      <c r="U16" s="511"/>
    </row>
    <row r="17" spans="1:33" hidden="1" outlineLevel="1" x14ac:dyDescent="0.25">
      <c r="C17" s="143"/>
      <c r="D17" s="89"/>
      <c r="E17" s="143"/>
      <c r="F17" s="143"/>
      <c r="G17" s="341">
        <v>4.5</v>
      </c>
      <c r="H17" s="758">
        <v>22</v>
      </c>
      <c r="I17" s="758">
        <v>24</v>
      </c>
      <c r="U17" s="511"/>
    </row>
    <row r="18" spans="1:33" hidden="1" outlineLevel="1" x14ac:dyDescent="0.25">
      <c r="C18" s="143"/>
      <c r="D18" s="89"/>
      <c r="E18" s="143"/>
      <c r="F18" s="143"/>
      <c r="G18" s="341">
        <v>5.5</v>
      </c>
      <c r="H18" s="758">
        <v>24</v>
      </c>
      <c r="I18" s="758">
        <v>26</v>
      </c>
      <c r="U18" s="511"/>
    </row>
    <row r="19" spans="1:33" hidden="1" outlineLevel="1" x14ac:dyDescent="0.25">
      <c r="C19" s="143"/>
      <c r="D19" s="89"/>
      <c r="E19" s="143"/>
      <c r="F19" s="143"/>
      <c r="G19" s="341">
        <v>6</v>
      </c>
      <c r="H19" s="758">
        <v>28</v>
      </c>
      <c r="I19" s="758">
        <v>30</v>
      </c>
      <c r="U19" s="511"/>
    </row>
    <row r="20" spans="1:33" hidden="1" outlineLevel="1" x14ac:dyDescent="0.25">
      <c r="C20" s="143"/>
      <c r="D20" s="89"/>
      <c r="E20" s="143"/>
      <c r="F20" s="143"/>
      <c r="G20" s="341">
        <v>7</v>
      </c>
      <c r="H20" s="758">
        <v>30</v>
      </c>
      <c r="I20" s="758">
        <v>34</v>
      </c>
      <c r="U20" s="511"/>
    </row>
    <row r="21" spans="1:33" hidden="1" outlineLevel="1" x14ac:dyDescent="0.25">
      <c r="C21" s="143"/>
      <c r="D21" s="89"/>
      <c r="E21" s="143"/>
      <c r="F21" s="143"/>
      <c r="G21" s="143"/>
      <c r="U21" s="511"/>
    </row>
    <row r="22" spans="1:33" ht="15.75" thickBot="1" x14ac:dyDescent="0.3">
      <c r="C22" s="143"/>
      <c r="D22" s="143"/>
      <c r="E22" s="143"/>
      <c r="F22" s="143"/>
      <c r="G22" s="143"/>
      <c r="H22" s="331"/>
    </row>
    <row r="23" spans="1:33" s="80" customFormat="1" x14ac:dyDescent="0.25">
      <c r="A23"/>
      <c r="B23"/>
      <c r="C23" s="80" t="s">
        <v>612</v>
      </c>
      <c r="E23" s="150">
        <v>0.2</v>
      </c>
      <c r="J23"/>
      <c r="K23"/>
      <c r="L23"/>
      <c r="M23"/>
      <c r="P23" s="695"/>
      <c r="T23" s="695"/>
      <c r="U23" s="767" t="str">
        <f>U2</f>
        <v>Trilocks</v>
      </c>
      <c r="V23" s="772"/>
      <c r="W23" s="772"/>
      <c r="X23" s="772"/>
      <c r="Y23" s="772"/>
      <c r="Z23" s="772"/>
      <c r="AA23" s="772"/>
      <c r="AB23" s="772"/>
      <c r="AC23" s="772"/>
      <c r="AD23" s="773"/>
      <c r="AG23"/>
    </row>
    <row r="24" spans="1:33" s="80" customFormat="1" ht="17.25" x14ac:dyDescent="0.25">
      <c r="A24"/>
      <c r="B24"/>
      <c r="C24" s="80" t="s">
        <v>713</v>
      </c>
      <c r="E24" s="607">
        <v>5</v>
      </c>
      <c r="J24"/>
      <c r="K24"/>
      <c r="L24"/>
      <c r="M24" s="631" t="s">
        <v>188</v>
      </c>
      <c r="N24" s="696"/>
      <c r="O24" s="696"/>
      <c r="P24" s="695"/>
      <c r="Q24" s="631" t="s">
        <v>215</v>
      </c>
      <c r="R24" s="696"/>
      <c r="S24" s="696"/>
      <c r="T24" s="695"/>
      <c r="U24" s="1072" t="s">
        <v>3</v>
      </c>
      <c r="V24" s="1073"/>
      <c r="W24" s="151" t="s">
        <v>607</v>
      </c>
      <c r="X24" s="152"/>
      <c r="Y24" s="1076" t="s">
        <v>579</v>
      </c>
      <c r="Z24" s="151" t="s">
        <v>608</v>
      </c>
      <c r="AA24" s="152"/>
      <c r="AB24" s="151" t="s">
        <v>609</v>
      </c>
      <c r="AC24" s="151"/>
      <c r="AD24" s="153"/>
      <c r="AG24"/>
    </row>
    <row r="25" spans="1:33" s="80" customFormat="1" x14ac:dyDescent="0.25">
      <c r="A25"/>
      <c r="B25"/>
      <c r="C25" s="343"/>
      <c r="D25" s="343"/>
      <c r="E25" s="343"/>
      <c r="G25" s="344" t="s">
        <v>616</v>
      </c>
      <c r="H25" s="344" t="s">
        <v>614</v>
      </c>
      <c r="I25" s="344" t="s">
        <v>615</v>
      </c>
      <c r="J25"/>
      <c r="K25"/>
      <c r="L25"/>
      <c r="M25" s="737" t="s">
        <v>632</v>
      </c>
      <c r="N25" s="737" t="s">
        <v>633</v>
      </c>
      <c r="O25" s="737" t="s">
        <v>636</v>
      </c>
      <c r="P25" s="695"/>
      <c r="Q25" s="737" t="s">
        <v>632</v>
      </c>
      <c r="R25" s="737" t="s">
        <v>633</v>
      </c>
      <c r="S25" s="737" t="s">
        <v>636</v>
      </c>
      <c r="T25" s="695"/>
      <c r="U25" s="1074"/>
      <c r="V25" s="1075"/>
      <c r="W25" s="155" t="s">
        <v>606</v>
      </c>
      <c r="X25" s="155" t="s">
        <v>605</v>
      </c>
      <c r="Y25" s="1077"/>
      <c r="Z25" s="155" t="s">
        <v>606</v>
      </c>
      <c r="AA25" s="155" t="s">
        <v>605</v>
      </c>
      <c r="AB25" s="155" t="s">
        <v>606</v>
      </c>
      <c r="AC25" s="155" t="s">
        <v>605</v>
      </c>
      <c r="AD25" s="156" t="s">
        <v>610</v>
      </c>
      <c r="AG25"/>
    </row>
    <row r="26" spans="1:33" x14ac:dyDescent="0.25">
      <c r="G26" s="341">
        <v>2.5</v>
      </c>
      <c r="H26" s="692">
        <f>INDEX($H$15:$I$20,MATCH($G26,$G$15:$G$20,0),MATCH(H$25,$H$14:$I$14,0))</f>
        <v>19</v>
      </c>
      <c r="I26" s="692">
        <f>INDEX($H$15:$I$20,MATCH($G26,$G$15:$G$20,0),MATCH(I$25,$H$14:$I$14,0))</f>
        <v>21</v>
      </c>
      <c r="K26" s="685" t="s">
        <v>198</v>
      </c>
      <c r="M26" s="386">
        <v>121.5</v>
      </c>
      <c r="N26" s="386">
        <v>150</v>
      </c>
      <c r="O26" s="735">
        <f>((N26-M26)/M26)</f>
        <v>0.23456790123456789</v>
      </c>
      <c r="P26" s="386"/>
      <c r="Q26" s="386">
        <v>117.5</v>
      </c>
      <c r="R26" s="686">
        <f>MROUND((1+$O26)*Q26,5)</f>
        <v>145</v>
      </c>
      <c r="S26" s="735">
        <f>((R26-Q26)/Q26)</f>
        <v>0.23404255319148937</v>
      </c>
      <c r="T26" s="150"/>
      <c r="U26" s="157"/>
      <c r="W26" s="158"/>
      <c r="X26" s="158"/>
      <c r="Y26" s="159" t="s">
        <v>198</v>
      </c>
      <c r="Z26" s="160">
        <f t="shared" ref="Z26:Z53" si="0">N26</f>
        <v>150</v>
      </c>
      <c r="AA26" s="160">
        <f>R26</f>
        <v>145</v>
      </c>
      <c r="AB26" s="160">
        <f t="shared" ref="AB26:AB53" si="1">MROUND((1+$E$23)*($Z26+$H26),$E$24)</f>
        <v>205</v>
      </c>
      <c r="AC26" s="160">
        <f t="shared" ref="AC26:AC53" si="2">MROUND((1+$E$23)*($AA26+$H26),$E$24)</f>
        <v>195</v>
      </c>
      <c r="AD26" s="161">
        <f t="shared" ref="AD26:AD53" si="3">MROUND((1+$E$23)*($Z26+$I26+$AA26),$E$24)</f>
        <v>380</v>
      </c>
    </row>
    <row r="27" spans="1:33" x14ac:dyDescent="0.25">
      <c r="C27" t="s">
        <v>6</v>
      </c>
      <c r="D27" s="148">
        <v>0.7601</v>
      </c>
      <c r="E27" s="148">
        <v>0.94699999999999995</v>
      </c>
      <c r="F27" s="144"/>
      <c r="G27" s="144"/>
      <c r="H27" s="332">
        <f t="shared" ref="H27:I29" si="4">H26</f>
        <v>19</v>
      </c>
      <c r="I27" s="332">
        <f t="shared" si="4"/>
        <v>21</v>
      </c>
      <c r="K27" s="685" t="s">
        <v>197</v>
      </c>
      <c r="M27" s="386">
        <v>90.5</v>
      </c>
      <c r="N27" s="386">
        <v>120</v>
      </c>
      <c r="O27" s="735">
        <f t="shared" ref="O27:O53" si="5">((N27-M27)/M27)</f>
        <v>0.32596685082872928</v>
      </c>
      <c r="P27" s="386"/>
      <c r="Q27" s="386">
        <v>86.5</v>
      </c>
      <c r="R27" s="686">
        <f t="shared" ref="R27:R53" si="6">MROUND((1+$O27)*Q27,5)</f>
        <v>115</v>
      </c>
      <c r="S27" s="735">
        <f t="shared" ref="S27:S53" si="7">((R27-Q27)/Q27)</f>
        <v>0.32947976878612717</v>
      </c>
      <c r="T27" s="150"/>
      <c r="U27" s="162" t="str">
        <f>_xlfn.CONCAT(TEXT($D27,"#.0000"),""""," to ",TEXT($E27,"#.000#"),"""")</f>
        <v>.7601" to .947"</v>
      </c>
      <c r="V27" s="163"/>
      <c r="W27" s="333">
        <v>1.25</v>
      </c>
      <c r="X27" s="333">
        <v>0.75</v>
      </c>
      <c r="Y27" s="159" t="s">
        <v>197</v>
      </c>
      <c r="Z27" s="160">
        <f t="shared" si="0"/>
        <v>120</v>
      </c>
      <c r="AA27" s="160">
        <f t="shared" ref="AA27:AA53" si="8">R27</f>
        <v>115</v>
      </c>
      <c r="AB27" s="160">
        <f t="shared" si="1"/>
        <v>165</v>
      </c>
      <c r="AC27" s="160">
        <f t="shared" si="2"/>
        <v>160</v>
      </c>
      <c r="AD27" s="161">
        <f t="shared" si="3"/>
        <v>305</v>
      </c>
    </row>
    <row r="28" spans="1:33" x14ac:dyDescent="0.25">
      <c r="C28" t="s">
        <v>585</v>
      </c>
      <c r="D28" s="334">
        <v>19.300999999999998</v>
      </c>
      <c r="E28" s="334">
        <v>24.05</v>
      </c>
      <c r="F28" s="144"/>
      <c r="G28" s="144"/>
      <c r="H28" s="332">
        <f t="shared" si="4"/>
        <v>19</v>
      </c>
      <c r="I28" s="332">
        <f t="shared" si="4"/>
        <v>21</v>
      </c>
      <c r="K28" s="685" t="s">
        <v>209</v>
      </c>
      <c r="M28" s="386">
        <v>81</v>
      </c>
      <c r="N28" s="386">
        <v>105</v>
      </c>
      <c r="O28" s="735">
        <f t="shared" si="5"/>
        <v>0.29629629629629628</v>
      </c>
      <c r="P28" s="386"/>
      <c r="Q28" s="386">
        <v>77</v>
      </c>
      <c r="R28" s="686">
        <f t="shared" si="6"/>
        <v>100</v>
      </c>
      <c r="S28" s="735">
        <f t="shared" si="7"/>
        <v>0.29870129870129869</v>
      </c>
      <c r="T28" s="150"/>
      <c r="U28" s="162" t="str">
        <f>_xlfn.CONCAT(TEXT($D28,"0.00#"),"mm"," to ",TEXT($E28,"0.00#"),"mm")</f>
        <v>19.301mm to 24.05mm</v>
      </c>
      <c r="V28" s="163"/>
      <c r="W28" s="339">
        <v>31.8</v>
      </c>
      <c r="X28" s="339">
        <v>19</v>
      </c>
      <c r="Y28" s="159" t="s">
        <v>209</v>
      </c>
      <c r="Z28" s="160">
        <f t="shared" si="0"/>
        <v>105</v>
      </c>
      <c r="AA28" s="160">
        <f t="shared" si="8"/>
        <v>100</v>
      </c>
      <c r="AB28" s="160">
        <f t="shared" si="1"/>
        <v>150</v>
      </c>
      <c r="AC28" s="160">
        <f t="shared" si="2"/>
        <v>145</v>
      </c>
      <c r="AD28" s="161">
        <f t="shared" si="3"/>
        <v>270</v>
      </c>
    </row>
    <row r="29" spans="1:33" x14ac:dyDescent="0.25">
      <c r="C29" s="345"/>
      <c r="D29" s="346"/>
      <c r="E29" s="346"/>
      <c r="F29" s="144"/>
      <c r="G29" s="346"/>
      <c r="H29" s="347">
        <f t="shared" si="4"/>
        <v>19</v>
      </c>
      <c r="I29" s="347">
        <f t="shared" si="4"/>
        <v>21</v>
      </c>
      <c r="K29" s="693" t="s">
        <v>196</v>
      </c>
      <c r="M29" s="687">
        <v>62.25</v>
      </c>
      <c r="N29" s="687">
        <v>80</v>
      </c>
      <c r="O29" s="736">
        <f t="shared" si="5"/>
        <v>0.28514056224899598</v>
      </c>
      <c r="P29" s="386"/>
      <c r="Q29" s="687">
        <v>54</v>
      </c>
      <c r="R29" s="716">
        <f t="shared" si="6"/>
        <v>70</v>
      </c>
      <c r="S29" s="736">
        <f t="shared" si="7"/>
        <v>0.29629629629629628</v>
      </c>
      <c r="T29" s="150"/>
      <c r="U29" s="157"/>
      <c r="W29" s="164"/>
      <c r="X29" s="165"/>
      <c r="Y29" s="159" t="s">
        <v>196</v>
      </c>
      <c r="Z29" s="160">
        <f t="shared" si="0"/>
        <v>80</v>
      </c>
      <c r="AA29" s="160">
        <f t="shared" si="8"/>
        <v>70</v>
      </c>
      <c r="AB29" s="160">
        <f t="shared" si="1"/>
        <v>120</v>
      </c>
      <c r="AC29" s="160">
        <f t="shared" si="2"/>
        <v>105</v>
      </c>
      <c r="AD29" s="161">
        <f t="shared" si="3"/>
        <v>205</v>
      </c>
    </row>
    <row r="30" spans="1:33" x14ac:dyDescent="0.25">
      <c r="G30" s="341">
        <v>3.5</v>
      </c>
      <c r="H30" s="342">
        <f>INDEX($H$15:$I$20,MATCH($G30,$G$15:$G$20,0),MATCH(H$25,$H$14:$I$14,0))</f>
        <v>20</v>
      </c>
      <c r="I30" s="342">
        <f>INDEX($H$15:$I$20,MATCH($G30,$G$15:$G$20,0),MATCH(I$25,$H$14:$I$14,0))</f>
        <v>22</v>
      </c>
      <c r="K30" s="685" t="s">
        <v>198</v>
      </c>
      <c r="M30" s="386">
        <v>124.25</v>
      </c>
      <c r="N30" s="386">
        <v>155</v>
      </c>
      <c r="O30" s="735">
        <f t="shared" si="5"/>
        <v>0.24748490945674045</v>
      </c>
      <c r="P30" s="386"/>
      <c r="Q30" s="386">
        <v>117.5</v>
      </c>
      <c r="R30" s="686">
        <f t="shared" si="6"/>
        <v>145</v>
      </c>
      <c r="S30" s="735">
        <f t="shared" si="7"/>
        <v>0.23404255319148937</v>
      </c>
      <c r="T30" s="150"/>
      <c r="U30" s="166"/>
      <c r="V30" s="167"/>
      <c r="W30" s="168"/>
      <c r="X30" s="169"/>
      <c r="Y30" s="170" t="s">
        <v>198</v>
      </c>
      <c r="Z30" s="171">
        <f t="shared" si="0"/>
        <v>155</v>
      </c>
      <c r="AA30" s="171">
        <f t="shared" si="8"/>
        <v>145</v>
      </c>
      <c r="AB30" s="171">
        <f t="shared" si="1"/>
        <v>210</v>
      </c>
      <c r="AC30" s="171">
        <f t="shared" si="2"/>
        <v>200</v>
      </c>
      <c r="AD30" s="172">
        <f t="shared" si="3"/>
        <v>385</v>
      </c>
    </row>
    <row r="31" spans="1:33" x14ac:dyDescent="0.25">
      <c r="C31" t="s">
        <v>6</v>
      </c>
      <c r="D31" s="148">
        <v>0.94710000000000005</v>
      </c>
      <c r="E31" s="148">
        <v>1.135</v>
      </c>
      <c r="F31" s="144"/>
      <c r="G31" s="144"/>
      <c r="H31" s="332">
        <f t="shared" ref="H31:I33" si="9">H30</f>
        <v>20</v>
      </c>
      <c r="I31" s="332">
        <f t="shared" si="9"/>
        <v>22</v>
      </c>
      <c r="K31" s="685" t="s">
        <v>197</v>
      </c>
      <c r="M31" s="386">
        <v>93.25</v>
      </c>
      <c r="N31" s="386">
        <v>125</v>
      </c>
      <c r="O31" s="735">
        <f t="shared" si="5"/>
        <v>0.34048257372654156</v>
      </c>
      <c r="P31" s="386"/>
      <c r="Q31" s="386">
        <v>89.25</v>
      </c>
      <c r="R31" s="686">
        <f t="shared" si="6"/>
        <v>120</v>
      </c>
      <c r="S31" s="735">
        <f t="shared" si="7"/>
        <v>0.34453781512605042</v>
      </c>
      <c r="T31" s="150"/>
      <c r="U31" s="173" t="str">
        <f>_xlfn.CONCAT(TEXT($D31,"#.0000"),""""," to ",TEXT($E31,"#.000#"),"""")</f>
        <v>.9471" to 1.135"</v>
      </c>
      <c r="V31" s="174"/>
      <c r="W31" s="336">
        <v>1.375</v>
      </c>
      <c r="X31" s="336">
        <v>0.75</v>
      </c>
      <c r="Y31" s="176" t="s">
        <v>197</v>
      </c>
      <c r="Z31" s="175">
        <f t="shared" si="0"/>
        <v>125</v>
      </c>
      <c r="AA31" s="175">
        <f t="shared" si="8"/>
        <v>120</v>
      </c>
      <c r="AB31" s="175">
        <f t="shared" si="1"/>
        <v>175</v>
      </c>
      <c r="AC31" s="175">
        <f t="shared" si="2"/>
        <v>170</v>
      </c>
      <c r="AD31" s="177">
        <f t="shared" si="3"/>
        <v>320</v>
      </c>
    </row>
    <row r="32" spans="1:33" x14ac:dyDescent="0.25">
      <c r="C32" t="s">
        <v>585</v>
      </c>
      <c r="D32" s="334">
        <v>24.050999999999998</v>
      </c>
      <c r="E32" s="334">
        <v>28.83</v>
      </c>
      <c r="F32" s="144"/>
      <c r="G32" s="144"/>
      <c r="H32" s="332">
        <f t="shared" si="9"/>
        <v>20</v>
      </c>
      <c r="I32" s="332">
        <f t="shared" si="9"/>
        <v>22</v>
      </c>
      <c r="K32" s="685" t="s">
        <v>209</v>
      </c>
      <c r="M32" s="386">
        <v>83.75</v>
      </c>
      <c r="N32" s="386">
        <v>110</v>
      </c>
      <c r="O32" s="735">
        <f t="shared" si="5"/>
        <v>0.31343283582089554</v>
      </c>
      <c r="P32" s="386"/>
      <c r="Q32" s="386">
        <v>81</v>
      </c>
      <c r="R32" s="686">
        <f t="shared" si="6"/>
        <v>105</v>
      </c>
      <c r="S32" s="735">
        <f t="shared" si="7"/>
        <v>0.29629629629629628</v>
      </c>
      <c r="T32" s="150"/>
      <c r="U32" s="173" t="str">
        <f>_xlfn.CONCAT(TEXT($D32,"0.00#"),"mm"," to ",TEXT($E32,"0.00#"),"mm")</f>
        <v>24.051mm to 28.83mm</v>
      </c>
      <c r="V32" s="174"/>
      <c r="W32" s="335">
        <v>34.9</v>
      </c>
      <c r="X32" s="335">
        <v>19</v>
      </c>
      <c r="Y32" s="176" t="s">
        <v>209</v>
      </c>
      <c r="Z32" s="175">
        <f t="shared" si="0"/>
        <v>110</v>
      </c>
      <c r="AA32" s="175">
        <f t="shared" si="8"/>
        <v>105</v>
      </c>
      <c r="AB32" s="175">
        <f t="shared" si="1"/>
        <v>155</v>
      </c>
      <c r="AC32" s="175">
        <f t="shared" si="2"/>
        <v>150</v>
      </c>
      <c r="AD32" s="177">
        <f t="shared" si="3"/>
        <v>285</v>
      </c>
    </row>
    <row r="33" spans="3:30" x14ac:dyDescent="0.25">
      <c r="C33" s="345"/>
      <c r="D33" s="346"/>
      <c r="E33" s="346"/>
      <c r="F33" s="144"/>
      <c r="G33" s="346"/>
      <c r="H33" s="347">
        <f t="shared" si="9"/>
        <v>20</v>
      </c>
      <c r="I33" s="347">
        <f t="shared" si="9"/>
        <v>22</v>
      </c>
      <c r="K33" s="693" t="s">
        <v>196</v>
      </c>
      <c r="M33" s="687">
        <v>65</v>
      </c>
      <c r="N33" s="687">
        <v>85</v>
      </c>
      <c r="O33" s="736">
        <f t="shared" si="5"/>
        <v>0.30769230769230771</v>
      </c>
      <c r="P33" s="386"/>
      <c r="Q33" s="687">
        <v>56.75</v>
      </c>
      <c r="R33" s="716">
        <f t="shared" si="6"/>
        <v>75</v>
      </c>
      <c r="S33" s="736">
        <f t="shared" si="7"/>
        <v>0.32158590308370044</v>
      </c>
      <c r="T33" s="150"/>
      <c r="U33" s="179"/>
      <c r="V33" s="180"/>
      <c r="W33" s="181"/>
      <c r="X33" s="182"/>
      <c r="Y33" s="183" t="s">
        <v>196</v>
      </c>
      <c r="Z33" s="184">
        <f t="shared" si="0"/>
        <v>85</v>
      </c>
      <c r="AA33" s="184">
        <f t="shared" si="8"/>
        <v>75</v>
      </c>
      <c r="AB33" s="184">
        <f t="shared" si="1"/>
        <v>125</v>
      </c>
      <c r="AC33" s="184">
        <f t="shared" si="2"/>
        <v>115</v>
      </c>
      <c r="AD33" s="185">
        <f t="shared" si="3"/>
        <v>220</v>
      </c>
    </row>
    <row r="34" spans="3:30" x14ac:dyDescent="0.25">
      <c r="G34" s="341">
        <v>4.5</v>
      </c>
      <c r="H34" s="342">
        <f>INDEX($H$15:$I$20,MATCH($G34,$G$15:$G$20,0),MATCH(H$25,$H$14:$I$14,0))</f>
        <v>22</v>
      </c>
      <c r="I34" s="342">
        <f>INDEX($H$15:$I$20,MATCH($G34,$G$15:$G$20,0),MATCH(I$25,$H$14:$I$14,0))</f>
        <v>24</v>
      </c>
      <c r="K34" s="685" t="s">
        <v>198</v>
      </c>
      <c r="M34" s="386">
        <v>127</v>
      </c>
      <c r="N34" s="386">
        <v>160</v>
      </c>
      <c r="O34" s="735">
        <f t="shared" si="5"/>
        <v>0.25984251968503935</v>
      </c>
      <c r="P34" s="386"/>
      <c r="Q34" s="386">
        <v>121.5</v>
      </c>
      <c r="R34" s="686">
        <f t="shared" si="6"/>
        <v>155</v>
      </c>
      <c r="S34" s="735">
        <f t="shared" si="7"/>
        <v>0.27572016460905352</v>
      </c>
      <c r="T34" s="150"/>
      <c r="U34" s="157"/>
      <c r="W34" s="164"/>
      <c r="X34" s="165"/>
      <c r="Y34" s="159" t="s">
        <v>198</v>
      </c>
      <c r="Z34" s="160">
        <f t="shared" si="0"/>
        <v>160</v>
      </c>
      <c r="AA34" s="160">
        <f t="shared" si="8"/>
        <v>155</v>
      </c>
      <c r="AB34" s="160">
        <f t="shared" si="1"/>
        <v>220</v>
      </c>
      <c r="AC34" s="160">
        <f t="shared" si="2"/>
        <v>210</v>
      </c>
      <c r="AD34" s="161">
        <f t="shared" si="3"/>
        <v>405</v>
      </c>
    </row>
    <row r="35" spans="3:30" x14ac:dyDescent="0.25">
      <c r="C35" t="s">
        <v>6</v>
      </c>
      <c r="D35" s="148">
        <v>1.1351</v>
      </c>
      <c r="E35" s="148">
        <v>1.51</v>
      </c>
      <c r="F35" s="144"/>
      <c r="G35" s="144"/>
      <c r="H35" s="332">
        <f t="shared" ref="H35:I37" si="10">H34</f>
        <v>22</v>
      </c>
      <c r="I35" s="332">
        <f t="shared" si="10"/>
        <v>24</v>
      </c>
      <c r="K35" s="685" t="s">
        <v>197</v>
      </c>
      <c r="M35" s="386">
        <v>101.25</v>
      </c>
      <c r="N35" s="386">
        <v>130</v>
      </c>
      <c r="O35" s="735">
        <f>((N35-M35)/M35)</f>
        <v>0.2839506172839506</v>
      </c>
      <c r="P35" s="386"/>
      <c r="Q35" s="386">
        <v>94.5</v>
      </c>
      <c r="R35" s="686">
        <f t="shared" si="6"/>
        <v>120</v>
      </c>
      <c r="S35" s="735">
        <f t="shared" si="7"/>
        <v>0.26984126984126983</v>
      </c>
      <c r="T35" s="150"/>
      <c r="U35" s="162" t="str">
        <f>_xlfn.CONCAT(TEXT($D35,"#.0000"),""""," to ",TEXT($E35,"#.000#"),"""")</f>
        <v>1.1351" to 1.510"</v>
      </c>
      <c r="V35" s="163"/>
      <c r="W35" s="333">
        <v>1.5</v>
      </c>
      <c r="X35" s="333">
        <v>0.75</v>
      </c>
      <c r="Y35" s="159" t="s">
        <v>197</v>
      </c>
      <c r="Z35" s="160">
        <f t="shared" si="0"/>
        <v>130</v>
      </c>
      <c r="AA35" s="160">
        <f t="shared" si="8"/>
        <v>120</v>
      </c>
      <c r="AB35" s="160">
        <f t="shared" si="1"/>
        <v>180</v>
      </c>
      <c r="AC35" s="160">
        <f t="shared" si="2"/>
        <v>170</v>
      </c>
      <c r="AD35" s="161">
        <f t="shared" si="3"/>
        <v>330</v>
      </c>
    </row>
    <row r="36" spans="3:30" x14ac:dyDescent="0.25">
      <c r="C36" t="s">
        <v>585</v>
      </c>
      <c r="D36" s="334">
        <v>28.831</v>
      </c>
      <c r="E36" s="334">
        <v>38.35</v>
      </c>
      <c r="F36" s="144"/>
      <c r="G36" s="144"/>
      <c r="H36" s="332">
        <f t="shared" si="10"/>
        <v>22</v>
      </c>
      <c r="I36" s="332">
        <f t="shared" si="10"/>
        <v>24</v>
      </c>
      <c r="K36" s="685" t="s">
        <v>209</v>
      </c>
      <c r="M36" s="386">
        <v>87.75</v>
      </c>
      <c r="N36" s="386">
        <v>110</v>
      </c>
      <c r="O36" s="735">
        <f t="shared" si="5"/>
        <v>0.25356125356125359</v>
      </c>
      <c r="P36" s="386"/>
      <c r="Q36" s="386">
        <v>83.75</v>
      </c>
      <c r="R36" s="686">
        <f t="shared" si="6"/>
        <v>105</v>
      </c>
      <c r="S36" s="735">
        <f t="shared" si="7"/>
        <v>0.2537313432835821</v>
      </c>
      <c r="T36" s="150"/>
      <c r="U36" s="162" t="str">
        <f>_xlfn.CONCAT(TEXT($D36,"0.00#"),"mm"," to ",TEXT($E36,"0.00#"),"mm")</f>
        <v>28.831mm to 38.35mm</v>
      </c>
      <c r="V36" s="163"/>
      <c r="W36" s="339">
        <v>38.1</v>
      </c>
      <c r="X36" s="339">
        <v>19</v>
      </c>
      <c r="Y36" s="159" t="s">
        <v>209</v>
      </c>
      <c r="Z36" s="160">
        <f t="shared" si="0"/>
        <v>110</v>
      </c>
      <c r="AA36" s="160">
        <f t="shared" si="8"/>
        <v>105</v>
      </c>
      <c r="AB36" s="160">
        <f t="shared" si="1"/>
        <v>160</v>
      </c>
      <c r="AC36" s="160">
        <f t="shared" si="2"/>
        <v>150</v>
      </c>
      <c r="AD36" s="161">
        <f t="shared" si="3"/>
        <v>285</v>
      </c>
    </row>
    <row r="37" spans="3:30" x14ac:dyDescent="0.25">
      <c r="C37" s="345"/>
      <c r="D37" s="346"/>
      <c r="E37" s="346"/>
      <c r="F37" s="144"/>
      <c r="G37" s="346"/>
      <c r="H37" s="347">
        <f t="shared" si="10"/>
        <v>22</v>
      </c>
      <c r="I37" s="347">
        <f t="shared" si="10"/>
        <v>24</v>
      </c>
      <c r="K37" s="693" t="s">
        <v>196</v>
      </c>
      <c r="M37" s="687">
        <v>74.25</v>
      </c>
      <c r="N37" s="687">
        <v>95</v>
      </c>
      <c r="O37" s="736">
        <f t="shared" si="5"/>
        <v>0.27946127946127947</v>
      </c>
      <c r="P37" s="386"/>
      <c r="Q37" s="687">
        <v>66.25</v>
      </c>
      <c r="R37" s="716">
        <f t="shared" si="6"/>
        <v>85</v>
      </c>
      <c r="S37" s="736">
        <f t="shared" si="7"/>
        <v>0.28301886792452829</v>
      </c>
      <c r="T37" s="150"/>
      <c r="U37" s="157"/>
      <c r="W37" s="164"/>
      <c r="X37" s="165"/>
      <c r="Y37" s="159" t="s">
        <v>196</v>
      </c>
      <c r="Z37" s="160">
        <f t="shared" si="0"/>
        <v>95</v>
      </c>
      <c r="AA37" s="160">
        <f t="shared" si="8"/>
        <v>85</v>
      </c>
      <c r="AB37" s="160">
        <f t="shared" si="1"/>
        <v>140</v>
      </c>
      <c r="AC37" s="160">
        <f t="shared" si="2"/>
        <v>130</v>
      </c>
      <c r="AD37" s="161">
        <f t="shared" si="3"/>
        <v>245</v>
      </c>
    </row>
    <row r="38" spans="3:30" x14ac:dyDescent="0.25">
      <c r="G38" s="341">
        <v>5.5</v>
      </c>
      <c r="H38" s="342">
        <f>INDEX($H$15:$I$20,MATCH($G38,$G$15:$G$20,0),MATCH(H$25,$H$14:$I$14,0))</f>
        <v>24</v>
      </c>
      <c r="I38" s="342">
        <f>INDEX($H$15:$I$20,MATCH($G38,$G$15:$G$20,0),MATCH(I$25,$H$14:$I$14,0))</f>
        <v>26</v>
      </c>
      <c r="K38" s="685" t="s">
        <v>198</v>
      </c>
      <c r="M38" s="386">
        <v>183.75</v>
      </c>
      <c r="N38" s="386">
        <v>210</v>
      </c>
      <c r="O38" s="735">
        <f t="shared" si="5"/>
        <v>0.14285714285714285</v>
      </c>
      <c r="P38" s="386"/>
      <c r="Q38" s="386">
        <v>174.25</v>
      </c>
      <c r="R38" s="686">
        <f t="shared" si="6"/>
        <v>200</v>
      </c>
      <c r="S38" s="735">
        <f t="shared" si="7"/>
        <v>0.14777618364418937</v>
      </c>
      <c r="T38" s="150"/>
      <c r="U38" s="166"/>
      <c r="V38" s="167"/>
      <c r="W38" s="168"/>
      <c r="X38" s="169"/>
      <c r="Y38" s="170" t="s">
        <v>198</v>
      </c>
      <c r="Z38" s="171">
        <f t="shared" si="0"/>
        <v>210</v>
      </c>
      <c r="AA38" s="171">
        <f t="shared" si="8"/>
        <v>200</v>
      </c>
      <c r="AB38" s="171">
        <f t="shared" si="1"/>
        <v>280</v>
      </c>
      <c r="AC38" s="171">
        <f t="shared" si="2"/>
        <v>270</v>
      </c>
      <c r="AD38" s="172">
        <f t="shared" si="3"/>
        <v>525</v>
      </c>
    </row>
    <row r="39" spans="3:30" x14ac:dyDescent="0.25">
      <c r="C39" t="s">
        <v>6</v>
      </c>
      <c r="D39" s="148">
        <v>1.5101</v>
      </c>
      <c r="E39" s="148">
        <v>2.0099999999999998</v>
      </c>
      <c r="F39" s="144"/>
      <c r="G39" s="144"/>
      <c r="H39" s="332">
        <f t="shared" ref="H39:I41" si="11">H38</f>
        <v>24</v>
      </c>
      <c r="I39" s="332">
        <f t="shared" si="11"/>
        <v>26</v>
      </c>
      <c r="K39" s="685" t="s">
        <v>197</v>
      </c>
      <c r="M39" s="386">
        <v>146</v>
      </c>
      <c r="N39" s="386">
        <v>170</v>
      </c>
      <c r="O39" s="735">
        <f t="shared" si="5"/>
        <v>0.16438356164383561</v>
      </c>
      <c r="P39" s="386"/>
      <c r="Q39" s="386">
        <v>139.25</v>
      </c>
      <c r="R39" s="686">
        <f t="shared" si="6"/>
        <v>160</v>
      </c>
      <c r="S39" s="735">
        <f t="shared" si="7"/>
        <v>0.1490125673249551</v>
      </c>
      <c r="T39" s="150"/>
      <c r="U39" s="173" t="str">
        <f>_xlfn.CONCAT(TEXT($D39,"#.0000"),""""," to ",TEXT($E39,"#.000#"),"""")</f>
        <v>1.5101" to 2.010"</v>
      </c>
      <c r="V39" s="174"/>
      <c r="W39" s="336">
        <v>1.875</v>
      </c>
      <c r="X39" s="336">
        <v>0.875</v>
      </c>
      <c r="Y39" s="176" t="s">
        <v>197</v>
      </c>
      <c r="Z39" s="175">
        <f t="shared" si="0"/>
        <v>170</v>
      </c>
      <c r="AA39" s="175">
        <f t="shared" si="8"/>
        <v>160</v>
      </c>
      <c r="AB39" s="175">
        <f t="shared" si="1"/>
        <v>235</v>
      </c>
      <c r="AC39" s="175">
        <f t="shared" si="2"/>
        <v>220</v>
      </c>
      <c r="AD39" s="177">
        <f t="shared" si="3"/>
        <v>425</v>
      </c>
    </row>
    <row r="40" spans="3:30" x14ac:dyDescent="0.25">
      <c r="C40" t="s">
        <v>585</v>
      </c>
      <c r="D40" s="334">
        <v>38.350999999999999</v>
      </c>
      <c r="E40" s="334">
        <v>51.05</v>
      </c>
      <c r="F40" s="144"/>
      <c r="G40" s="144"/>
      <c r="H40" s="332">
        <f t="shared" si="11"/>
        <v>24</v>
      </c>
      <c r="I40" s="332">
        <f t="shared" si="11"/>
        <v>26</v>
      </c>
      <c r="K40" s="685" t="s">
        <v>209</v>
      </c>
      <c r="M40" s="386">
        <v>124.25</v>
      </c>
      <c r="N40" s="386">
        <v>145</v>
      </c>
      <c r="O40" s="735">
        <f t="shared" si="5"/>
        <v>0.16700201207243462</v>
      </c>
      <c r="P40" s="386"/>
      <c r="Q40" s="386">
        <v>116.25</v>
      </c>
      <c r="R40" s="686">
        <f t="shared" si="6"/>
        <v>135</v>
      </c>
      <c r="S40" s="735">
        <f t="shared" si="7"/>
        <v>0.16129032258064516</v>
      </c>
      <c r="T40" s="150"/>
      <c r="U40" s="173" t="str">
        <f>_xlfn.CONCAT(TEXT($D40,"0.00#"),"mm"," to ",TEXT($E40,"0.00#"),"mm")</f>
        <v>38.351mm to 51.05mm</v>
      </c>
      <c r="V40" s="174"/>
      <c r="W40" s="335">
        <v>47.6</v>
      </c>
      <c r="X40" s="335">
        <v>22.2</v>
      </c>
      <c r="Y40" s="176" t="s">
        <v>209</v>
      </c>
      <c r="Z40" s="175">
        <f t="shared" si="0"/>
        <v>145</v>
      </c>
      <c r="AA40" s="175">
        <f t="shared" si="8"/>
        <v>135</v>
      </c>
      <c r="AB40" s="175">
        <f t="shared" si="1"/>
        <v>205</v>
      </c>
      <c r="AC40" s="175">
        <f t="shared" si="2"/>
        <v>190</v>
      </c>
      <c r="AD40" s="177">
        <f t="shared" si="3"/>
        <v>365</v>
      </c>
    </row>
    <row r="41" spans="3:30" x14ac:dyDescent="0.25">
      <c r="C41" s="345"/>
      <c r="D41" s="346"/>
      <c r="E41" s="346"/>
      <c r="F41" s="144"/>
      <c r="G41" s="346"/>
      <c r="H41" s="347">
        <f t="shared" si="11"/>
        <v>24</v>
      </c>
      <c r="I41" s="347">
        <f t="shared" si="11"/>
        <v>26</v>
      </c>
      <c r="K41" s="693" t="s">
        <v>196</v>
      </c>
      <c r="M41" s="687">
        <v>112.25</v>
      </c>
      <c r="N41" s="687">
        <v>130</v>
      </c>
      <c r="O41" s="736">
        <f t="shared" si="5"/>
        <v>0.15812917594654788</v>
      </c>
      <c r="P41" s="386"/>
      <c r="Q41" s="687">
        <v>101.25</v>
      </c>
      <c r="R41" s="716">
        <f t="shared" si="6"/>
        <v>115</v>
      </c>
      <c r="S41" s="736">
        <f t="shared" si="7"/>
        <v>0.13580246913580246</v>
      </c>
      <c r="T41" s="150"/>
      <c r="U41" s="179"/>
      <c r="V41" s="180"/>
      <c r="W41" s="181"/>
      <c r="X41" s="182"/>
      <c r="Y41" s="183" t="s">
        <v>196</v>
      </c>
      <c r="Z41" s="184">
        <f t="shared" si="0"/>
        <v>130</v>
      </c>
      <c r="AA41" s="184">
        <f t="shared" si="8"/>
        <v>115</v>
      </c>
      <c r="AB41" s="184">
        <f t="shared" si="1"/>
        <v>185</v>
      </c>
      <c r="AC41" s="184">
        <f t="shared" si="2"/>
        <v>165</v>
      </c>
      <c r="AD41" s="185">
        <f t="shared" si="3"/>
        <v>325</v>
      </c>
    </row>
    <row r="42" spans="3:30" x14ac:dyDescent="0.25">
      <c r="G42" s="341">
        <v>6</v>
      </c>
      <c r="H42" s="342">
        <f>INDEX($H$15:$I$20,MATCH($G42,$G$15:$G$20,0),MATCH(H$25,$H$14:$I$14,0))</f>
        <v>28</v>
      </c>
      <c r="I42" s="342">
        <f>INDEX($H$15:$I$20,MATCH($G42,$G$15:$G$20,0),MATCH(I$25,$H$14:$I$14,0))</f>
        <v>30</v>
      </c>
      <c r="K42" s="685" t="s">
        <v>198</v>
      </c>
      <c r="M42" s="386">
        <v>202.5</v>
      </c>
      <c r="N42" s="386">
        <v>240</v>
      </c>
      <c r="O42" s="735">
        <f t="shared" si="5"/>
        <v>0.18518518518518517</v>
      </c>
      <c r="P42" s="386"/>
      <c r="Q42" s="386">
        <v>193.25</v>
      </c>
      <c r="R42" s="686">
        <f t="shared" si="6"/>
        <v>230</v>
      </c>
      <c r="S42" s="735">
        <f t="shared" si="7"/>
        <v>0.19016817593790428</v>
      </c>
      <c r="T42" s="150"/>
      <c r="U42" s="157"/>
      <c r="W42" s="164"/>
      <c r="X42" s="165"/>
      <c r="Y42" s="159" t="s">
        <v>198</v>
      </c>
      <c r="Z42" s="160">
        <f t="shared" si="0"/>
        <v>240</v>
      </c>
      <c r="AA42" s="160">
        <f t="shared" si="8"/>
        <v>230</v>
      </c>
      <c r="AB42" s="160">
        <f t="shared" si="1"/>
        <v>320</v>
      </c>
      <c r="AC42" s="160">
        <f t="shared" si="2"/>
        <v>310</v>
      </c>
      <c r="AD42" s="161">
        <f t="shared" si="3"/>
        <v>600</v>
      </c>
    </row>
    <row r="43" spans="3:30" x14ac:dyDescent="0.25">
      <c r="C43" t="s">
        <v>6</v>
      </c>
      <c r="D43" s="148">
        <v>2.0101</v>
      </c>
      <c r="E43" s="148">
        <v>2.5099999999999998</v>
      </c>
      <c r="F43" s="144"/>
      <c r="G43" s="144"/>
      <c r="H43" s="332">
        <f t="shared" ref="H43:I45" si="12">H42</f>
        <v>28</v>
      </c>
      <c r="I43" s="332">
        <f t="shared" si="12"/>
        <v>30</v>
      </c>
      <c r="K43" s="685" t="s">
        <v>197</v>
      </c>
      <c r="M43" s="386">
        <v>155.25</v>
      </c>
      <c r="N43" s="386">
        <v>190</v>
      </c>
      <c r="O43" s="735">
        <f t="shared" si="5"/>
        <v>0.22383252818035426</v>
      </c>
      <c r="P43" s="386"/>
      <c r="Q43" s="386">
        <v>146</v>
      </c>
      <c r="R43" s="686">
        <f t="shared" si="6"/>
        <v>180</v>
      </c>
      <c r="S43" s="735">
        <f t="shared" si="7"/>
        <v>0.23287671232876711</v>
      </c>
      <c r="T43" s="150"/>
      <c r="U43" s="162" t="str">
        <f>_xlfn.CONCAT(TEXT($D43,"#.0000"),""""," to ",TEXT($E43,"#.000#"),"""")</f>
        <v>2.0101" to 2.510"</v>
      </c>
      <c r="V43" s="163"/>
      <c r="W43" s="337">
        <v>2</v>
      </c>
      <c r="X43" s="333">
        <v>0.875</v>
      </c>
      <c r="Y43" s="159" t="s">
        <v>197</v>
      </c>
      <c r="Z43" s="160">
        <f t="shared" si="0"/>
        <v>190</v>
      </c>
      <c r="AA43" s="160">
        <f t="shared" si="8"/>
        <v>180</v>
      </c>
      <c r="AB43" s="160">
        <f t="shared" si="1"/>
        <v>260</v>
      </c>
      <c r="AC43" s="160">
        <f t="shared" si="2"/>
        <v>250</v>
      </c>
      <c r="AD43" s="161">
        <f t="shared" si="3"/>
        <v>480</v>
      </c>
    </row>
    <row r="44" spans="3:30" x14ac:dyDescent="0.25">
      <c r="C44" t="s">
        <v>585</v>
      </c>
      <c r="D44" s="334">
        <v>51.051000000000002</v>
      </c>
      <c r="E44" s="334">
        <v>63.75</v>
      </c>
      <c r="F44" s="144"/>
      <c r="G44" s="144"/>
      <c r="H44" s="332">
        <f t="shared" si="12"/>
        <v>28</v>
      </c>
      <c r="I44" s="332">
        <f t="shared" si="12"/>
        <v>30</v>
      </c>
      <c r="K44" s="685" t="s">
        <v>209</v>
      </c>
      <c r="M44" s="386">
        <v>147.25</v>
      </c>
      <c r="N44" s="386">
        <v>170</v>
      </c>
      <c r="O44" s="735">
        <f t="shared" si="5"/>
        <v>0.15449915110356535</v>
      </c>
      <c r="P44" s="386"/>
      <c r="Q44" s="386">
        <v>136.5</v>
      </c>
      <c r="R44" s="686">
        <f t="shared" si="6"/>
        <v>160</v>
      </c>
      <c r="S44" s="735">
        <f t="shared" si="7"/>
        <v>0.17216117216117216</v>
      </c>
      <c r="T44" s="150"/>
      <c r="U44" s="162" t="str">
        <f>_xlfn.CONCAT(TEXT($D44,"0.00#"),"mm"," to ",TEXT($E44,"0.00#"),"mm")</f>
        <v>51.051mm to 63.75mm</v>
      </c>
      <c r="V44" s="163"/>
      <c r="W44" s="339">
        <v>50.8</v>
      </c>
      <c r="X44" s="339">
        <v>22.2</v>
      </c>
      <c r="Y44" s="159" t="s">
        <v>209</v>
      </c>
      <c r="Z44" s="160">
        <f t="shared" si="0"/>
        <v>170</v>
      </c>
      <c r="AA44" s="160">
        <f t="shared" si="8"/>
        <v>160</v>
      </c>
      <c r="AB44" s="160">
        <f t="shared" si="1"/>
        <v>240</v>
      </c>
      <c r="AC44" s="160">
        <f t="shared" si="2"/>
        <v>225</v>
      </c>
      <c r="AD44" s="161">
        <f t="shared" si="3"/>
        <v>430</v>
      </c>
    </row>
    <row r="45" spans="3:30" x14ac:dyDescent="0.25">
      <c r="C45" s="345"/>
      <c r="D45" s="346"/>
      <c r="E45" s="346"/>
      <c r="F45" s="144"/>
      <c r="G45" s="346"/>
      <c r="H45" s="347">
        <f t="shared" si="12"/>
        <v>28</v>
      </c>
      <c r="I45" s="347">
        <f t="shared" si="12"/>
        <v>30</v>
      </c>
      <c r="K45" s="693" t="s">
        <v>196</v>
      </c>
      <c r="M45" s="687">
        <v>133.75</v>
      </c>
      <c r="N45" s="687">
        <v>155</v>
      </c>
      <c r="O45" s="736">
        <f t="shared" si="5"/>
        <v>0.15887850467289719</v>
      </c>
      <c r="P45" s="386"/>
      <c r="Q45" s="687">
        <v>124.25</v>
      </c>
      <c r="R45" s="716">
        <f t="shared" si="6"/>
        <v>145</v>
      </c>
      <c r="S45" s="736">
        <f t="shared" si="7"/>
        <v>0.16700201207243462</v>
      </c>
      <c r="T45" s="150"/>
      <c r="U45" s="157"/>
      <c r="W45" s="164"/>
      <c r="X45" s="164"/>
      <c r="Y45" s="159" t="s">
        <v>196</v>
      </c>
      <c r="Z45" s="160">
        <f t="shared" si="0"/>
        <v>155</v>
      </c>
      <c r="AA45" s="160">
        <f t="shared" si="8"/>
        <v>145</v>
      </c>
      <c r="AB45" s="160">
        <f t="shared" si="1"/>
        <v>220</v>
      </c>
      <c r="AC45" s="160">
        <f t="shared" si="2"/>
        <v>210</v>
      </c>
      <c r="AD45" s="161">
        <f t="shared" si="3"/>
        <v>395</v>
      </c>
    </row>
    <row r="46" spans="3:30" x14ac:dyDescent="0.25">
      <c r="D46" s="144"/>
      <c r="E46" s="144"/>
      <c r="G46" s="341">
        <v>7</v>
      </c>
      <c r="H46" s="342">
        <f>INDEX($H$15:$I$20,MATCH($G46,$G$15:$G$20,0),MATCH(H$25,$H$14:$I$14,0))</f>
        <v>30</v>
      </c>
      <c r="I46" s="342">
        <f>INDEX($H$15:$I$20,MATCH($G46,$G$15:$G$20,0),MATCH(I$25,$H$14:$I$14,0))</f>
        <v>34</v>
      </c>
      <c r="K46" s="685" t="s">
        <v>198</v>
      </c>
      <c r="M46" s="386">
        <v>248.5</v>
      </c>
      <c r="N46" s="386">
        <v>285</v>
      </c>
      <c r="O46" s="735">
        <f t="shared" si="5"/>
        <v>0.14688128772635814</v>
      </c>
      <c r="P46" s="386"/>
      <c r="Q46" s="386">
        <v>229.5</v>
      </c>
      <c r="R46" s="686">
        <f t="shared" si="6"/>
        <v>265</v>
      </c>
      <c r="S46" s="735">
        <f t="shared" si="7"/>
        <v>0.15468409586056645</v>
      </c>
      <c r="T46" s="150"/>
      <c r="U46" s="166"/>
      <c r="V46" s="167"/>
      <c r="W46" s="168"/>
      <c r="X46" s="169"/>
      <c r="Y46" s="170" t="s">
        <v>198</v>
      </c>
      <c r="Z46" s="171">
        <f t="shared" si="0"/>
        <v>285</v>
      </c>
      <c r="AA46" s="171">
        <f t="shared" si="8"/>
        <v>265</v>
      </c>
      <c r="AB46" s="171">
        <f t="shared" si="1"/>
        <v>380</v>
      </c>
      <c r="AC46" s="171">
        <f t="shared" si="2"/>
        <v>355</v>
      </c>
      <c r="AD46" s="172">
        <f t="shared" si="3"/>
        <v>700</v>
      </c>
    </row>
    <row r="47" spans="3:30" x14ac:dyDescent="0.25">
      <c r="C47" t="s">
        <v>6</v>
      </c>
      <c r="D47" s="148">
        <v>2.5101</v>
      </c>
      <c r="E47" s="148">
        <v>3.01</v>
      </c>
      <c r="H47" s="332">
        <f t="shared" ref="H47:I49" si="13">H46</f>
        <v>30</v>
      </c>
      <c r="I47" s="332">
        <f t="shared" si="13"/>
        <v>34</v>
      </c>
      <c r="K47" s="685" t="s">
        <v>197</v>
      </c>
      <c r="M47" s="386">
        <v>186.5</v>
      </c>
      <c r="N47" s="386">
        <v>235</v>
      </c>
      <c r="O47" s="735">
        <f t="shared" si="5"/>
        <v>0.26005361930294907</v>
      </c>
      <c r="P47" s="386"/>
      <c r="Q47" s="386">
        <v>170.25</v>
      </c>
      <c r="R47" s="686">
        <f t="shared" si="6"/>
        <v>215</v>
      </c>
      <c r="S47" s="735">
        <f t="shared" si="7"/>
        <v>0.26284875183553597</v>
      </c>
      <c r="T47" s="150"/>
      <c r="U47" s="173" t="str">
        <f>_xlfn.CONCAT(TEXT($D47,"#.0000"),""""," to ",TEXT($E47,"#.000#"),"""")</f>
        <v>2.5101" to 3.010"</v>
      </c>
      <c r="V47" s="174"/>
      <c r="W47" s="338">
        <v>2</v>
      </c>
      <c r="X47" s="338">
        <v>1</v>
      </c>
      <c r="Y47" s="176" t="s">
        <v>197</v>
      </c>
      <c r="Z47" s="175">
        <f t="shared" si="0"/>
        <v>235</v>
      </c>
      <c r="AA47" s="175">
        <f t="shared" si="8"/>
        <v>215</v>
      </c>
      <c r="AB47" s="175">
        <f t="shared" si="1"/>
        <v>320</v>
      </c>
      <c r="AC47" s="175">
        <f t="shared" si="2"/>
        <v>295</v>
      </c>
      <c r="AD47" s="177">
        <f t="shared" si="3"/>
        <v>580</v>
      </c>
    </row>
    <row r="48" spans="3:30" x14ac:dyDescent="0.25">
      <c r="C48" t="s">
        <v>585</v>
      </c>
      <c r="D48" s="334">
        <v>63.750999999999998</v>
      </c>
      <c r="E48" s="334">
        <v>76.45</v>
      </c>
      <c r="H48" s="332">
        <f t="shared" si="13"/>
        <v>30</v>
      </c>
      <c r="I48" s="332">
        <f t="shared" si="13"/>
        <v>34</v>
      </c>
      <c r="K48" s="685" t="s">
        <v>209</v>
      </c>
      <c r="M48" s="386">
        <v>163.5</v>
      </c>
      <c r="N48" s="386">
        <v>215</v>
      </c>
      <c r="O48" s="735">
        <f t="shared" si="5"/>
        <v>0.3149847094801223</v>
      </c>
      <c r="P48" s="386"/>
      <c r="Q48" s="386">
        <v>144.5</v>
      </c>
      <c r="R48" s="686">
        <f t="shared" si="6"/>
        <v>190</v>
      </c>
      <c r="S48" s="735">
        <f t="shared" si="7"/>
        <v>0.31487889273356401</v>
      </c>
      <c r="T48" s="150"/>
      <c r="U48" s="173" t="str">
        <f>_xlfn.CONCAT(TEXT($D48,"0.00#"),"mm"," to ",TEXT($E48,"0.00#"),"mm")</f>
        <v>63.751mm to 76.45mm</v>
      </c>
      <c r="V48" s="174"/>
      <c r="W48" s="335">
        <v>50.8</v>
      </c>
      <c r="X48" s="335">
        <v>25.4</v>
      </c>
      <c r="Y48" s="176" t="s">
        <v>209</v>
      </c>
      <c r="Z48" s="175">
        <f t="shared" si="0"/>
        <v>215</v>
      </c>
      <c r="AA48" s="175">
        <f t="shared" si="8"/>
        <v>190</v>
      </c>
      <c r="AB48" s="175">
        <f t="shared" si="1"/>
        <v>295</v>
      </c>
      <c r="AC48" s="175">
        <f t="shared" si="2"/>
        <v>265</v>
      </c>
      <c r="AD48" s="177">
        <f t="shared" si="3"/>
        <v>525</v>
      </c>
    </row>
    <row r="49" spans="1:30" x14ac:dyDescent="0.25">
      <c r="C49" s="345"/>
      <c r="D49" s="346"/>
      <c r="E49" s="346"/>
      <c r="G49" s="345"/>
      <c r="H49" s="347">
        <f t="shared" si="13"/>
        <v>30</v>
      </c>
      <c r="I49" s="347">
        <f t="shared" si="13"/>
        <v>34</v>
      </c>
      <c r="K49" s="693" t="s">
        <v>196</v>
      </c>
      <c r="M49" s="687">
        <v>139.25</v>
      </c>
      <c r="N49" s="687">
        <v>185</v>
      </c>
      <c r="O49" s="736">
        <f t="shared" si="5"/>
        <v>0.32854578096947934</v>
      </c>
      <c r="P49" s="386"/>
      <c r="Q49" s="687">
        <v>124.25</v>
      </c>
      <c r="R49" s="716">
        <f t="shared" si="6"/>
        <v>165</v>
      </c>
      <c r="S49" s="736">
        <f t="shared" si="7"/>
        <v>0.32796780684104626</v>
      </c>
      <c r="T49" s="150"/>
      <c r="U49" s="179"/>
      <c r="V49" s="180"/>
      <c r="W49" s="181"/>
      <c r="X49" s="182"/>
      <c r="Y49" s="183" t="s">
        <v>196</v>
      </c>
      <c r="Z49" s="184">
        <f t="shared" si="0"/>
        <v>185</v>
      </c>
      <c r="AA49" s="184">
        <f t="shared" si="8"/>
        <v>165</v>
      </c>
      <c r="AB49" s="184">
        <f t="shared" si="1"/>
        <v>260</v>
      </c>
      <c r="AC49" s="184">
        <f t="shared" si="2"/>
        <v>235</v>
      </c>
      <c r="AD49" s="185">
        <f t="shared" si="3"/>
        <v>460</v>
      </c>
    </row>
    <row r="50" spans="1:30" x14ac:dyDescent="0.25">
      <c r="D50" s="144"/>
      <c r="E50" s="144"/>
      <c r="G50" s="341">
        <v>7</v>
      </c>
      <c r="H50" s="342">
        <f>INDEX($H$15:$I$20,MATCH($G50,$G$15:$G$20,0),MATCH(H$25,$H$14:$I$14,0))</f>
        <v>30</v>
      </c>
      <c r="I50" s="342">
        <f>INDEX($H$15:$I$20,MATCH($G50,$G$15:$G$20,0),MATCH(I$25,$H$14:$I$14,0))</f>
        <v>34</v>
      </c>
      <c r="K50" s="685" t="s">
        <v>198</v>
      </c>
      <c r="M50" s="386">
        <v>357.75</v>
      </c>
      <c r="N50" s="386">
        <v>360</v>
      </c>
      <c r="O50" s="735">
        <f t="shared" si="5"/>
        <v>6.2893081761006293E-3</v>
      </c>
      <c r="P50" s="386"/>
      <c r="Q50" s="386">
        <v>313.25</v>
      </c>
      <c r="R50" s="686">
        <f t="shared" si="6"/>
        <v>315</v>
      </c>
      <c r="S50" s="735">
        <f t="shared" si="7"/>
        <v>5.5865921787709499E-3</v>
      </c>
      <c r="T50" s="150"/>
      <c r="U50" s="157"/>
      <c r="W50" s="164"/>
      <c r="X50" s="165"/>
      <c r="Y50" s="159" t="s">
        <v>198</v>
      </c>
      <c r="Z50" s="160">
        <f t="shared" si="0"/>
        <v>360</v>
      </c>
      <c r="AA50" s="160">
        <f t="shared" si="8"/>
        <v>315</v>
      </c>
      <c r="AB50" s="160">
        <f t="shared" si="1"/>
        <v>470</v>
      </c>
      <c r="AC50" s="160">
        <f t="shared" si="2"/>
        <v>415</v>
      </c>
      <c r="AD50" s="161">
        <f t="shared" si="3"/>
        <v>850</v>
      </c>
    </row>
    <row r="51" spans="1:30" x14ac:dyDescent="0.25">
      <c r="C51" t="s">
        <v>6</v>
      </c>
      <c r="D51" s="148">
        <v>3.0101</v>
      </c>
      <c r="E51" s="148">
        <v>3.51</v>
      </c>
      <c r="H51" s="332">
        <f t="shared" ref="H51:I53" si="14">H50</f>
        <v>30</v>
      </c>
      <c r="I51" s="332">
        <f t="shared" si="14"/>
        <v>34</v>
      </c>
      <c r="K51" s="685" t="s">
        <v>197</v>
      </c>
      <c r="M51" s="386">
        <v>295.75</v>
      </c>
      <c r="N51" s="386">
        <v>310</v>
      </c>
      <c r="O51" s="735">
        <f t="shared" si="5"/>
        <v>4.8182586644125107E-2</v>
      </c>
      <c r="P51" s="386"/>
      <c r="Q51" s="386">
        <v>260.75</v>
      </c>
      <c r="R51" s="686">
        <f t="shared" si="6"/>
        <v>275</v>
      </c>
      <c r="S51" s="735">
        <f t="shared" si="7"/>
        <v>5.4650047938638542E-2</v>
      </c>
      <c r="T51" s="150"/>
      <c r="U51" s="162" t="str">
        <f>_xlfn.CONCAT(TEXT($D51,"#.0000"),""""," to ",TEXT($E51,"#.000#"),"""")</f>
        <v>3.0101" to 3.510"</v>
      </c>
      <c r="V51" s="163"/>
      <c r="W51" s="337">
        <v>2</v>
      </c>
      <c r="X51" s="337">
        <v>1</v>
      </c>
      <c r="Y51" s="159" t="s">
        <v>197</v>
      </c>
      <c r="Z51" s="160">
        <f t="shared" si="0"/>
        <v>310</v>
      </c>
      <c r="AA51" s="160">
        <f t="shared" si="8"/>
        <v>275</v>
      </c>
      <c r="AB51" s="160">
        <f t="shared" si="1"/>
        <v>410</v>
      </c>
      <c r="AC51" s="160">
        <f t="shared" si="2"/>
        <v>365</v>
      </c>
      <c r="AD51" s="161">
        <f t="shared" si="3"/>
        <v>745</v>
      </c>
    </row>
    <row r="52" spans="1:30" x14ac:dyDescent="0.25">
      <c r="C52" t="s">
        <v>585</v>
      </c>
      <c r="D52" s="334">
        <v>76.450999999999993</v>
      </c>
      <c r="E52" s="334">
        <v>89.15</v>
      </c>
      <c r="H52" s="332">
        <f t="shared" si="14"/>
        <v>30</v>
      </c>
      <c r="I52" s="332">
        <f t="shared" si="14"/>
        <v>34</v>
      </c>
      <c r="K52" s="685" t="s">
        <v>209</v>
      </c>
      <c r="M52" s="386">
        <v>240.5</v>
      </c>
      <c r="N52" s="386">
        <v>280</v>
      </c>
      <c r="O52" s="735">
        <f t="shared" si="5"/>
        <v>0.16424116424116425</v>
      </c>
      <c r="P52" s="386"/>
      <c r="Q52" s="386">
        <v>206.75</v>
      </c>
      <c r="R52" s="686">
        <f t="shared" si="6"/>
        <v>240</v>
      </c>
      <c r="S52" s="735">
        <f t="shared" si="7"/>
        <v>0.16082224909310761</v>
      </c>
      <c r="T52" s="150"/>
      <c r="U52" s="162" t="str">
        <f>_xlfn.CONCAT(TEXT($D52,"0.00#"),"mm"," to ",TEXT($E52,"0.00#"),"mm")</f>
        <v>76.451mm to 89.15mm</v>
      </c>
      <c r="V52" s="163"/>
      <c r="W52" s="339">
        <v>50.8</v>
      </c>
      <c r="X52" s="339">
        <v>25.4</v>
      </c>
      <c r="Y52" s="159" t="s">
        <v>209</v>
      </c>
      <c r="Z52" s="160">
        <f t="shared" si="0"/>
        <v>280</v>
      </c>
      <c r="AA52" s="160">
        <f t="shared" si="8"/>
        <v>240</v>
      </c>
      <c r="AB52" s="160">
        <f t="shared" si="1"/>
        <v>370</v>
      </c>
      <c r="AC52" s="160">
        <f t="shared" si="2"/>
        <v>325</v>
      </c>
      <c r="AD52" s="161">
        <f t="shared" si="3"/>
        <v>665</v>
      </c>
    </row>
    <row r="53" spans="1:30" ht="15.75" thickBot="1" x14ac:dyDescent="0.3">
      <c r="C53" s="345"/>
      <c r="D53" s="345"/>
      <c r="E53" s="345"/>
      <c r="G53" s="345"/>
      <c r="H53" s="347">
        <f t="shared" si="14"/>
        <v>30</v>
      </c>
      <c r="I53" s="347">
        <f t="shared" si="14"/>
        <v>34</v>
      </c>
      <c r="K53" s="693" t="s">
        <v>196</v>
      </c>
      <c r="M53" s="687">
        <v>213.5</v>
      </c>
      <c r="N53" s="687">
        <v>250</v>
      </c>
      <c r="O53" s="736">
        <f t="shared" si="5"/>
        <v>0.17096018735362997</v>
      </c>
      <c r="P53" s="386"/>
      <c r="Q53" s="687">
        <v>179.75</v>
      </c>
      <c r="R53" s="716">
        <f t="shared" si="6"/>
        <v>210</v>
      </c>
      <c r="S53" s="736">
        <f t="shared" si="7"/>
        <v>0.16828929068150209</v>
      </c>
      <c r="U53" s="186"/>
      <c r="V53" s="187"/>
      <c r="W53" s="188"/>
      <c r="X53" s="188"/>
      <c r="Y53" s="189" t="s">
        <v>196</v>
      </c>
      <c r="Z53" s="190">
        <f t="shared" si="0"/>
        <v>250</v>
      </c>
      <c r="AA53" s="190">
        <f t="shared" si="8"/>
        <v>210</v>
      </c>
      <c r="AB53" s="190">
        <f t="shared" si="1"/>
        <v>335</v>
      </c>
      <c r="AC53" s="190">
        <f t="shared" si="2"/>
        <v>290</v>
      </c>
      <c r="AD53" s="191">
        <f t="shared" si="3"/>
        <v>595</v>
      </c>
    </row>
    <row r="54" spans="1:30" ht="9.6" customHeight="1" x14ac:dyDescent="0.25"/>
    <row r="55" spans="1:30" x14ac:dyDescent="0.25">
      <c r="U55" t="s">
        <v>659</v>
      </c>
    </row>
    <row r="56" spans="1:30" x14ac:dyDescent="0.25">
      <c r="U56" s="383"/>
    </row>
    <row r="58" spans="1:30" x14ac:dyDescent="0.25">
      <c r="U58" s="145"/>
    </row>
    <row r="59" spans="1:30" x14ac:dyDescent="0.25">
      <c r="A59" s="50"/>
      <c r="B59" s="50"/>
    </row>
  </sheetData>
  <sheetProtection algorithmName="SHA-512" hashValue="J40oISTjlYk9KimUWo6sOVXeP32D24pLRd7gfnCHOIyYow4rRPn0uigiWdJvk3YEOOdSnspBLeUyho2yrTzEqg==" saltValue="2prXme71atsxq+2zJ7QsVQ==" spinCount="100000" sheet="1" objects="1" scenarios="1"/>
  <mergeCells count="2">
    <mergeCell ref="U24:V25"/>
    <mergeCell ref="Y24:Y25"/>
  </mergeCells>
  <conditionalFormatting sqref="U8:U21">
    <cfRule type="expression" dxfId="15" priority="1">
      <formula>#REF!="y"</formula>
    </cfRule>
  </conditionalFormatting>
  <pageMargins left="0.7" right="0.7" top="0.75" bottom="0.75" header="0.3" footer="0.3"/>
  <pageSetup scale="92" fitToHeight="0" orientation="landscape" horizontalDpi="1200" verticalDpi="1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2FEDD-9AC4-45C1-B36A-1C546030DD1C}">
  <sheetPr codeName="Sheet21">
    <outlinePr summaryBelow="0"/>
    <pageSetUpPr autoPageBreaks="0" fitToPage="1"/>
  </sheetPr>
  <dimension ref="A1:V63"/>
  <sheetViews>
    <sheetView showGridLines="0" zoomScale="90" zoomScaleNormal="90" workbookViewId="0">
      <selection activeCell="P60" sqref="P60"/>
    </sheetView>
  </sheetViews>
  <sheetFormatPr defaultRowHeight="15" outlineLevelRow="1" outlineLevelCol="1" x14ac:dyDescent="0.25"/>
  <cols>
    <col min="1" max="2" width="1.7109375" customWidth="1"/>
    <col min="3" max="3" width="13.7109375" hidden="1" customWidth="1" outlineLevel="1"/>
    <col min="4" max="4" width="14.28515625" hidden="1" customWidth="1" outlineLevel="1"/>
    <col min="5" max="5" width="10.28515625" hidden="1" customWidth="1" outlineLevel="1"/>
    <col min="6" max="6" width="1.7109375" hidden="1" customWidth="1" outlineLevel="1"/>
    <col min="7" max="7" width="10.28515625" hidden="1" customWidth="1" outlineLevel="1"/>
    <col min="8" max="8" width="10.28515625" style="11" hidden="1" customWidth="1" outlineLevel="1"/>
    <col min="9" max="9" width="1.7109375" hidden="1" customWidth="1" outlineLevel="1"/>
    <col min="10" max="10" width="11.140625" hidden="1" customWidth="1" outlineLevel="1"/>
    <col min="11" max="11" width="1.7109375" hidden="1" customWidth="1" outlineLevel="1"/>
    <col min="12" max="14" width="10.28515625" hidden="1" customWidth="1" outlineLevel="1"/>
    <col min="15" max="15" width="1.7109375" hidden="1" customWidth="1" outlineLevel="1"/>
    <col min="16" max="16" width="12.5703125" customWidth="1" collapsed="1"/>
    <col min="17" max="17" width="12.5703125" customWidth="1"/>
    <col min="18" max="20" width="14" style="11" customWidth="1"/>
    <col min="21" max="22" width="14" customWidth="1"/>
  </cols>
  <sheetData>
    <row r="1" spans="2:17" ht="5.0999999999999996" customHeight="1" x14ac:dyDescent="0.25"/>
    <row r="2" spans="2:17" ht="21" x14ac:dyDescent="0.35">
      <c r="P2" s="500" t="s">
        <v>630</v>
      </c>
      <c r="Q2" s="142"/>
    </row>
    <row r="3" spans="2:17" ht="18.75" collapsed="1" x14ac:dyDescent="0.3">
      <c r="G3" s="32"/>
      <c r="P3" s="569" t="s">
        <v>665</v>
      </c>
      <c r="Q3" s="142"/>
    </row>
    <row r="4" spans="2:17" hidden="1" outlineLevel="1" x14ac:dyDescent="0.25">
      <c r="B4" s="743"/>
      <c r="C4" s="743" t="s">
        <v>893</v>
      </c>
      <c r="D4" s="743" t="s">
        <v>894</v>
      </c>
      <c r="E4" s="143"/>
      <c r="F4" s="143"/>
      <c r="G4" s="143"/>
      <c r="H4" s="331"/>
      <c r="J4" s="562" t="s">
        <v>683</v>
      </c>
      <c r="L4" s="743"/>
      <c r="M4" s="743"/>
      <c r="P4" s="145"/>
    </row>
    <row r="5" spans="2:17" hidden="1" outlineLevel="1" x14ac:dyDescent="0.25">
      <c r="C5" s="2">
        <v>350</v>
      </c>
      <c r="D5" s="2" t="s">
        <v>860</v>
      </c>
      <c r="E5" s="143"/>
      <c r="F5" s="143"/>
      <c r="G5" s="143"/>
      <c r="H5" s="331"/>
      <c r="L5" s="743"/>
      <c r="M5" s="743"/>
      <c r="P5" s="145"/>
    </row>
    <row r="6" spans="2:17" hidden="1" outlineLevel="1" x14ac:dyDescent="0.25">
      <c r="C6" s="2"/>
      <c r="D6" s="2"/>
      <c r="E6" s="143"/>
      <c r="F6" s="143"/>
      <c r="G6" s="143"/>
      <c r="H6" s="331"/>
      <c r="L6" s="743"/>
      <c r="M6" s="743"/>
      <c r="P6" s="145"/>
    </row>
    <row r="7" spans="2:17" x14ac:dyDescent="0.25">
      <c r="C7" s="143"/>
      <c r="E7" s="143"/>
      <c r="F7" s="143"/>
      <c r="G7" s="143"/>
      <c r="H7" s="331"/>
      <c r="L7" s="743"/>
      <c r="M7" s="743"/>
      <c r="P7" s="145"/>
    </row>
    <row r="8" spans="2:17" x14ac:dyDescent="0.25">
      <c r="C8" s="511" t="s">
        <v>648</v>
      </c>
      <c r="D8" s="515" t="s">
        <v>657</v>
      </c>
      <c r="E8" s="516"/>
      <c r="F8" s="516"/>
      <c r="O8" s="518"/>
      <c r="P8" s="511" t="str">
        <f>_xlfn.CONCAT($C$8,"  ",D8)</f>
        <v>•  Class XX, X, Y, or Z</v>
      </c>
    </row>
    <row r="9" spans="2:17" x14ac:dyDescent="0.25">
      <c r="C9" s="511"/>
      <c r="D9" s="515" t="s">
        <v>688</v>
      </c>
      <c r="E9" s="516"/>
      <c r="F9" s="516"/>
      <c r="O9" s="518"/>
      <c r="P9" s="511" t="str">
        <f>_xlfn.CONCAT($C$8,"  ",D9)</f>
        <v>•  Taperlock-style (up to 1.510")</v>
      </c>
    </row>
    <row r="10" spans="2:17" x14ac:dyDescent="0.25">
      <c r="C10" s="511"/>
      <c r="D10" s="13" t="s">
        <v>492</v>
      </c>
      <c r="E10" s="516"/>
      <c r="F10" s="516"/>
      <c r="O10" s="518"/>
      <c r="P10" s="511" t="str">
        <f>_xlfn.CONCAT($C$8,"  ",D10)</f>
        <v>•  Available in steel only</v>
      </c>
    </row>
    <row r="11" spans="2:17" x14ac:dyDescent="0.25">
      <c r="C11" s="516"/>
      <c r="D11" s="515" t="s">
        <v>668</v>
      </c>
      <c r="E11" s="516"/>
      <c r="F11" s="516"/>
      <c r="O11" s="11"/>
      <c r="P11" s="511" t="str">
        <f>_xlfn.CONCAT($C$8,"  ",D11)</f>
        <v>•  Specify Go and NoGo sizes</v>
      </c>
    </row>
    <row r="12" spans="2:17" x14ac:dyDescent="0.25">
      <c r="C12" s="143"/>
      <c r="D12" s="89" t="s">
        <v>670</v>
      </c>
      <c r="E12" s="143"/>
      <c r="F12" s="143"/>
      <c r="P12" s="511" t="str">
        <f>_xlfn.CONCAT($C$8,"  ",D12)</f>
        <v>•  Custom marking available – $15 per handle flat</v>
      </c>
    </row>
    <row r="13" spans="2:17" ht="15.75" collapsed="1" thickBot="1" x14ac:dyDescent="0.3">
      <c r="C13" s="143"/>
      <c r="D13" s="89"/>
      <c r="E13" s="143"/>
      <c r="F13" s="143"/>
      <c r="G13" s="331"/>
      <c r="H13" s="386"/>
      <c r="P13" s="511"/>
    </row>
    <row r="14" spans="2:17" hidden="1" outlineLevel="1" x14ac:dyDescent="0.25">
      <c r="F14" s="143"/>
      <c r="P14" s="511"/>
    </row>
    <row r="15" spans="2:17" hidden="1" outlineLevel="1" x14ac:dyDescent="0.25">
      <c r="C15" s="143"/>
      <c r="D15" s="89"/>
      <c r="E15" s="143"/>
      <c r="F15" s="143"/>
      <c r="G15" s="697">
        <v>1</v>
      </c>
      <c r="H15" s="386">
        <v>18</v>
      </c>
      <c r="P15" s="511"/>
    </row>
    <row r="16" spans="2:17" hidden="1" outlineLevel="1" x14ac:dyDescent="0.25">
      <c r="C16" s="143"/>
      <c r="D16" s="89"/>
      <c r="E16" s="143"/>
      <c r="F16" s="143"/>
      <c r="G16" s="697">
        <v>2</v>
      </c>
      <c r="H16" s="386">
        <v>19</v>
      </c>
      <c r="P16" s="511"/>
    </row>
    <row r="17" spans="1:22" hidden="1" outlineLevel="1" x14ac:dyDescent="0.25">
      <c r="C17" s="143"/>
      <c r="D17" s="89"/>
      <c r="E17" s="143"/>
      <c r="F17" s="143"/>
      <c r="G17" s="697">
        <v>3</v>
      </c>
      <c r="H17" s="386">
        <v>20</v>
      </c>
      <c r="P17" s="511"/>
    </row>
    <row r="18" spans="1:22" hidden="1" outlineLevel="1" x14ac:dyDescent="0.25">
      <c r="C18" s="143"/>
      <c r="D18" s="89"/>
      <c r="E18" s="143"/>
      <c r="F18" s="143"/>
      <c r="G18" s="697">
        <v>4</v>
      </c>
      <c r="H18" s="386">
        <v>21</v>
      </c>
      <c r="P18" s="511"/>
    </row>
    <row r="19" spans="1:22" hidden="1" outlineLevel="1" x14ac:dyDescent="0.25">
      <c r="C19" s="143"/>
      <c r="D19" s="89"/>
      <c r="E19" s="143"/>
      <c r="F19" s="143"/>
      <c r="G19" s="697">
        <v>5</v>
      </c>
      <c r="H19" s="386">
        <v>22</v>
      </c>
      <c r="P19" s="511"/>
    </row>
    <row r="20" spans="1:22" ht="15.75" hidden="1" outlineLevel="1" thickBot="1" x14ac:dyDescent="0.3">
      <c r="C20" s="143"/>
      <c r="D20" s="89"/>
      <c r="E20" s="143"/>
      <c r="F20" s="143"/>
      <c r="G20" s="697"/>
      <c r="H20" s="386"/>
      <c r="P20" s="511"/>
    </row>
    <row r="21" spans="1:22" s="80" customFormat="1" x14ac:dyDescent="0.25">
      <c r="A21"/>
      <c r="B21"/>
      <c r="C21" s="80" t="s">
        <v>612</v>
      </c>
      <c r="E21" s="150">
        <v>0.2</v>
      </c>
      <c r="G21" s="329"/>
      <c r="I21"/>
      <c r="J21"/>
      <c r="K21"/>
      <c r="L21"/>
      <c r="M21"/>
      <c r="N21"/>
      <c r="P21" s="767" t="str">
        <f>P2</f>
        <v>Progressives</v>
      </c>
      <c r="Q21" s="772"/>
      <c r="R21" s="772"/>
      <c r="S21" s="772"/>
      <c r="T21" s="772"/>
      <c r="U21" s="772"/>
      <c r="V21" s="773"/>
    </row>
    <row r="22" spans="1:22" s="80" customFormat="1" ht="17.25" x14ac:dyDescent="0.25">
      <c r="A22"/>
      <c r="B22"/>
      <c r="C22" s="80" t="s">
        <v>713</v>
      </c>
      <c r="E22" s="607">
        <v>5</v>
      </c>
      <c r="G22" s="329"/>
      <c r="I22"/>
      <c r="J22"/>
      <c r="K22"/>
      <c r="L22"/>
      <c r="M22"/>
      <c r="N22"/>
      <c r="P22" s="1072" t="s">
        <v>3</v>
      </c>
      <c r="Q22" s="1073"/>
      <c r="R22" s="151" t="s">
        <v>219</v>
      </c>
      <c r="S22" s="152"/>
      <c r="T22" s="1076" t="s">
        <v>579</v>
      </c>
      <c r="U22" s="16" t="s">
        <v>617</v>
      </c>
      <c r="V22" s="353" t="s">
        <v>618</v>
      </c>
    </row>
    <row r="23" spans="1:22" s="80" customFormat="1" x14ac:dyDescent="0.25">
      <c r="A23"/>
      <c r="B23"/>
      <c r="G23" s="329"/>
      <c r="H23" s="329"/>
      <c r="I23"/>
      <c r="J23"/>
      <c r="K23"/>
      <c r="L23" s="10" t="s">
        <v>632</v>
      </c>
      <c r="M23" s="10" t="s">
        <v>633</v>
      </c>
      <c r="N23" s="10"/>
      <c r="P23" s="1074"/>
      <c r="Q23" s="1075"/>
      <c r="R23" s="155" t="s">
        <v>606</v>
      </c>
      <c r="S23" s="155" t="s">
        <v>605</v>
      </c>
      <c r="T23" s="1077"/>
      <c r="U23" s="155" t="s">
        <v>573</v>
      </c>
      <c r="V23" s="156" t="s">
        <v>573</v>
      </c>
    </row>
    <row r="24" spans="1:22" x14ac:dyDescent="0.25">
      <c r="G24" s="11">
        <v>1</v>
      </c>
      <c r="H24" s="340">
        <f>_xlfn.XLOOKUP(G24,$G$15:$G$19,$H$15:$H$19)</f>
        <v>18</v>
      </c>
      <c r="J24" s="685">
        <v>0.2</v>
      </c>
      <c r="L24" s="386">
        <v>179</v>
      </c>
      <c r="M24" s="686">
        <f>MROUND(PRODUCT(L24,(1+$J24)),5)</f>
        <v>215</v>
      </c>
      <c r="N24" s="686"/>
      <c r="P24" s="157"/>
      <c r="R24" s="158"/>
      <c r="S24" s="158"/>
      <c r="T24" s="159" t="s">
        <v>198</v>
      </c>
      <c r="U24" s="160">
        <f>M24</f>
        <v>215</v>
      </c>
      <c r="V24" s="161">
        <f t="shared" ref="V24:V43" si="0">MROUND((1+$E$21)*($U24+$H24),$E$22)</f>
        <v>280</v>
      </c>
    </row>
    <row r="25" spans="1:22" x14ac:dyDescent="0.25">
      <c r="C25" t="s">
        <v>6</v>
      </c>
      <c r="D25" s="148">
        <v>0.2301</v>
      </c>
      <c r="E25" s="148">
        <v>0.36499999999999999</v>
      </c>
      <c r="F25" s="144"/>
      <c r="G25" s="11">
        <f t="shared" ref="G25:H27" si="1">G24</f>
        <v>1</v>
      </c>
      <c r="H25" s="332">
        <f t="shared" si="1"/>
        <v>18</v>
      </c>
      <c r="J25" s="685">
        <v>0.2</v>
      </c>
      <c r="L25" s="386">
        <v>154</v>
      </c>
      <c r="M25" s="686">
        <f t="shared" ref="M25:M43" si="2">MROUND(PRODUCT(L25,(1+$J25)),5)</f>
        <v>185</v>
      </c>
      <c r="N25" s="686"/>
      <c r="P25" s="162" t="str">
        <f>_xlfn.CONCAT(TEXT($D25,"#.0000"),""""," to ",TEXT($E25,"#.000#"),"""")</f>
        <v>.2301" to .365"</v>
      </c>
      <c r="Q25" s="163"/>
      <c r="R25" s="160" t="s">
        <v>590</v>
      </c>
      <c r="S25" s="160" t="s">
        <v>216</v>
      </c>
      <c r="T25" s="159" t="s">
        <v>197</v>
      </c>
      <c r="U25" s="160">
        <f t="shared" ref="U25:U43" si="3">M25</f>
        <v>185</v>
      </c>
      <c r="V25" s="161">
        <f t="shared" si="0"/>
        <v>245</v>
      </c>
    </row>
    <row r="26" spans="1:22" x14ac:dyDescent="0.25">
      <c r="C26" t="s">
        <v>585</v>
      </c>
      <c r="D26" s="149">
        <v>5.851</v>
      </c>
      <c r="E26" s="149">
        <v>9.27</v>
      </c>
      <c r="F26" s="144"/>
      <c r="G26" s="11">
        <f t="shared" si="1"/>
        <v>1</v>
      </c>
      <c r="H26" s="332">
        <f t="shared" si="1"/>
        <v>18</v>
      </c>
      <c r="J26" s="685">
        <v>0.2</v>
      </c>
      <c r="L26" s="386">
        <v>148</v>
      </c>
      <c r="M26" s="686">
        <f t="shared" si="2"/>
        <v>180</v>
      </c>
      <c r="N26" s="686"/>
      <c r="P26" s="162" t="str">
        <f>_xlfn.CONCAT(TEXT($D26,"0.00#"),"mm"," to ",TEXT($E26,"0.00#"),"mm")</f>
        <v>5.851mm to 9.27mm</v>
      </c>
      <c r="Q26" s="163"/>
      <c r="R26" s="348" t="s">
        <v>588</v>
      </c>
      <c r="S26" s="348" t="s">
        <v>604</v>
      </c>
      <c r="T26" s="159" t="s">
        <v>209</v>
      </c>
      <c r="U26" s="160">
        <f t="shared" si="3"/>
        <v>180</v>
      </c>
      <c r="V26" s="161">
        <f t="shared" si="0"/>
        <v>240</v>
      </c>
    </row>
    <row r="27" spans="1:22" x14ac:dyDescent="0.25">
      <c r="D27" s="148"/>
      <c r="E27" s="148"/>
      <c r="F27" s="144"/>
      <c r="G27" s="11">
        <f t="shared" si="1"/>
        <v>1</v>
      </c>
      <c r="H27" s="332">
        <f t="shared" si="1"/>
        <v>18</v>
      </c>
      <c r="J27" s="693">
        <v>0.2</v>
      </c>
      <c r="L27" s="687">
        <v>152</v>
      </c>
      <c r="M27" s="716">
        <f t="shared" si="2"/>
        <v>180</v>
      </c>
      <c r="N27" s="686"/>
      <c r="P27" s="157"/>
      <c r="R27" s="164"/>
      <c r="S27" s="349"/>
      <c r="T27" s="159" t="s">
        <v>196</v>
      </c>
      <c r="U27" s="160">
        <f t="shared" si="3"/>
        <v>180</v>
      </c>
      <c r="V27" s="161">
        <f t="shared" si="0"/>
        <v>240</v>
      </c>
    </row>
    <row r="28" spans="1:22" x14ac:dyDescent="0.25">
      <c r="D28" s="330"/>
      <c r="E28" s="330"/>
      <c r="G28" s="11">
        <v>2</v>
      </c>
      <c r="H28" s="340">
        <f>_xlfn.XLOOKUP(G28,$G$15:$G$19,$H$15:$H$19)</f>
        <v>19</v>
      </c>
      <c r="J28" s="685">
        <v>0.2</v>
      </c>
      <c r="L28" s="386">
        <v>180</v>
      </c>
      <c r="M28" s="686">
        <f t="shared" si="2"/>
        <v>215</v>
      </c>
      <c r="N28" s="686"/>
      <c r="P28" s="166"/>
      <c r="Q28" s="167"/>
      <c r="R28" s="168"/>
      <c r="S28" s="350"/>
      <c r="T28" s="170" t="s">
        <v>198</v>
      </c>
      <c r="U28" s="171">
        <f t="shared" si="3"/>
        <v>215</v>
      </c>
      <c r="V28" s="172">
        <f t="shared" si="0"/>
        <v>280</v>
      </c>
    </row>
    <row r="29" spans="1:22" x14ac:dyDescent="0.25">
      <c r="C29" t="s">
        <v>6</v>
      </c>
      <c r="D29" s="148">
        <v>0.36509999999999998</v>
      </c>
      <c r="E29" s="148">
        <v>0.51</v>
      </c>
      <c r="F29" s="144"/>
      <c r="G29" s="11">
        <f t="shared" ref="G29:H31" si="4">G28</f>
        <v>2</v>
      </c>
      <c r="H29" s="332">
        <f t="shared" si="4"/>
        <v>19</v>
      </c>
      <c r="J29" s="685">
        <v>0.2</v>
      </c>
      <c r="L29" s="386">
        <v>156</v>
      </c>
      <c r="M29" s="686">
        <f t="shared" si="2"/>
        <v>185</v>
      </c>
      <c r="N29" s="686"/>
      <c r="P29" s="173" t="str">
        <f>_xlfn.CONCAT(TEXT($D29,"#.0000"),""""," to ",TEXT($E29,"#.000#"),"""")</f>
        <v>.3651" to .510"</v>
      </c>
      <c r="Q29" s="174"/>
      <c r="R29" s="175" t="s">
        <v>603</v>
      </c>
      <c r="S29" s="175" t="s">
        <v>602</v>
      </c>
      <c r="T29" s="176" t="s">
        <v>197</v>
      </c>
      <c r="U29" s="175">
        <f t="shared" si="3"/>
        <v>185</v>
      </c>
      <c r="V29" s="177">
        <f t="shared" si="0"/>
        <v>245</v>
      </c>
    </row>
    <row r="30" spans="1:22" x14ac:dyDescent="0.25">
      <c r="C30" t="s">
        <v>585</v>
      </c>
      <c r="D30" s="149">
        <v>9.2710000000000008</v>
      </c>
      <c r="E30" s="149">
        <v>12.95</v>
      </c>
      <c r="F30" s="144"/>
      <c r="G30" s="11">
        <f t="shared" si="4"/>
        <v>2</v>
      </c>
      <c r="H30" s="332">
        <f t="shared" si="4"/>
        <v>19</v>
      </c>
      <c r="J30" s="685">
        <v>0.2</v>
      </c>
      <c r="L30" s="386">
        <v>148</v>
      </c>
      <c r="M30" s="686">
        <f t="shared" si="2"/>
        <v>180</v>
      </c>
      <c r="N30" s="686"/>
      <c r="P30" s="173" t="str">
        <f>_xlfn.CONCAT(TEXT($D30,"0.00#"),"mm"," to ",TEXT($E30,"0.00#"),"mm")</f>
        <v>9.271mm to 12.95mm</v>
      </c>
      <c r="Q30" s="174"/>
      <c r="R30" s="351" t="s">
        <v>601</v>
      </c>
      <c r="S30" s="178" t="s">
        <v>600</v>
      </c>
      <c r="T30" s="176" t="s">
        <v>209</v>
      </c>
      <c r="U30" s="175">
        <f t="shared" si="3"/>
        <v>180</v>
      </c>
      <c r="V30" s="177">
        <f t="shared" si="0"/>
        <v>240</v>
      </c>
    </row>
    <row r="31" spans="1:22" x14ac:dyDescent="0.25">
      <c r="D31" s="148"/>
      <c r="E31" s="148"/>
      <c r="F31" s="144"/>
      <c r="G31" s="11">
        <f t="shared" si="4"/>
        <v>2</v>
      </c>
      <c r="H31" s="332">
        <f t="shared" si="4"/>
        <v>19</v>
      </c>
      <c r="J31" s="693">
        <v>0.2</v>
      </c>
      <c r="L31" s="687">
        <v>145</v>
      </c>
      <c r="M31" s="716">
        <f t="shared" si="2"/>
        <v>175</v>
      </c>
      <c r="N31" s="686"/>
      <c r="P31" s="179"/>
      <c r="Q31" s="180"/>
      <c r="R31" s="181"/>
      <c r="S31" s="182"/>
      <c r="T31" s="183" t="s">
        <v>196</v>
      </c>
      <c r="U31" s="184">
        <f t="shared" si="3"/>
        <v>175</v>
      </c>
      <c r="V31" s="185">
        <f t="shared" si="0"/>
        <v>235</v>
      </c>
    </row>
    <row r="32" spans="1:22" x14ac:dyDescent="0.25">
      <c r="D32" s="330"/>
      <c r="E32" s="330"/>
      <c r="G32" s="11">
        <v>3</v>
      </c>
      <c r="H32" s="340">
        <f>_xlfn.XLOOKUP(G32,$G$15:$G$19,$H$15:$H$19)</f>
        <v>20</v>
      </c>
      <c r="J32" s="685">
        <v>0.2</v>
      </c>
      <c r="L32" s="386">
        <v>189</v>
      </c>
      <c r="M32" s="686">
        <f t="shared" si="2"/>
        <v>225</v>
      </c>
      <c r="N32" s="686"/>
      <c r="P32" s="157"/>
      <c r="R32" s="164"/>
      <c r="S32" s="349"/>
      <c r="T32" s="159" t="s">
        <v>198</v>
      </c>
      <c r="U32" s="160">
        <f t="shared" si="3"/>
        <v>225</v>
      </c>
      <c r="V32" s="161">
        <f t="shared" si="0"/>
        <v>295</v>
      </c>
    </row>
    <row r="33" spans="3:22" x14ac:dyDescent="0.25">
      <c r="C33" t="s">
        <v>6</v>
      </c>
      <c r="D33" s="148">
        <v>0.5101</v>
      </c>
      <c r="E33" s="148">
        <v>0.82499999999999996</v>
      </c>
      <c r="F33" s="144"/>
      <c r="G33" s="11">
        <f t="shared" ref="G33:H35" si="5">G32</f>
        <v>3</v>
      </c>
      <c r="H33" s="332">
        <f t="shared" si="5"/>
        <v>20</v>
      </c>
      <c r="J33" s="685">
        <v>0.2</v>
      </c>
      <c r="L33" s="386">
        <v>169</v>
      </c>
      <c r="M33" s="686">
        <f t="shared" si="2"/>
        <v>205</v>
      </c>
      <c r="N33" s="686"/>
      <c r="P33" s="162" t="str">
        <f>_xlfn.CONCAT(TEXT($D33,"#.0000"),""""," to ",TEXT($E33,"#.000#"),"""")</f>
        <v>.5101" to .825"</v>
      </c>
      <c r="Q33" s="163"/>
      <c r="R33" s="160" t="s">
        <v>599</v>
      </c>
      <c r="S33" s="160" t="s">
        <v>598</v>
      </c>
      <c r="T33" s="159" t="s">
        <v>197</v>
      </c>
      <c r="U33" s="160">
        <f t="shared" si="3"/>
        <v>205</v>
      </c>
      <c r="V33" s="161">
        <f t="shared" si="0"/>
        <v>270</v>
      </c>
    </row>
    <row r="34" spans="3:22" x14ac:dyDescent="0.25">
      <c r="C34" t="s">
        <v>585</v>
      </c>
      <c r="D34" s="149">
        <v>12.951000000000001</v>
      </c>
      <c r="E34" s="149">
        <v>20.96</v>
      </c>
      <c r="F34" s="144"/>
      <c r="G34" s="11">
        <f t="shared" si="5"/>
        <v>3</v>
      </c>
      <c r="H34" s="332">
        <f t="shared" si="5"/>
        <v>20</v>
      </c>
      <c r="J34" s="685">
        <v>0.2</v>
      </c>
      <c r="L34" s="386">
        <v>156</v>
      </c>
      <c r="M34" s="686">
        <f t="shared" si="2"/>
        <v>185</v>
      </c>
      <c r="N34" s="686"/>
      <c r="P34" s="162" t="str">
        <f>_xlfn.CONCAT(TEXT($D34,"0.00#"),"mm"," to ",TEXT($E34,"0.00#"),"mm")</f>
        <v>12.951mm to 20.96mm</v>
      </c>
      <c r="Q34" s="163"/>
      <c r="R34" s="348" t="s">
        <v>597</v>
      </c>
      <c r="S34" s="164" t="s">
        <v>596</v>
      </c>
      <c r="T34" s="159" t="s">
        <v>209</v>
      </c>
      <c r="U34" s="160">
        <f t="shared" si="3"/>
        <v>185</v>
      </c>
      <c r="V34" s="161">
        <f t="shared" si="0"/>
        <v>245</v>
      </c>
    </row>
    <row r="35" spans="3:22" x14ac:dyDescent="0.25">
      <c r="D35" s="148"/>
      <c r="E35" s="148"/>
      <c r="F35" s="144"/>
      <c r="G35" s="11">
        <f t="shared" si="5"/>
        <v>3</v>
      </c>
      <c r="H35" s="332">
        <f t="shared" si="5"/>
        <v>20</v>
      </c>
      <c r="J35" s="693">
        <v>0.2</v>
      </c>
      <c r="L35" s="687">
        <v>153</v>
      </c>
      <c r="M35" s="716">
        <f t="shared" si="2"/>
        <v>185</v>
      </c>
      <c r="N35" s="686"/>
      <c r="P35" s="157"/>
      <c r="R35" s="164"/>
      <c r="S35" s="165"/>
      <c r="T35" s="159" t="s">
        <v>196</v>
      </c>
      <c r="U35" s="160">
        <f t="shared" si="3"/>
        <v>185</v>
      </c>
      <c r="V35" s="161">
        <f t="shared" si="0"/>
        <v>245</v>
      </c>
    </row>
    <row r="36" spans="3:22" x14ac:dyDescent="0.25">
      <c r="D36" s="330"/>
      <c r="E36" s="330"/>
      <c r="G36" s="11">
        <v>4</v>
      </c>
      <c r="H36" s="340">
        <f>_xlfn.XLOOKUP(G36,$G$15:$G$19,$H$15:$H$19)</f>
        <v>21</v>
      </c>
      <c r="J36" s="685">
        <v>0.2</v>
      </c>
      <c r="L36" s="386">
        <v>214</v>
      </c>
      <c r="M36" s="686">
        <f t="shared" si="2"/>
        <v>255</v>
      </c>
      <c r="N36" s="686"/>
      <c r="P36" s="166"/>
      <c r="Q36" s="167"/>
      <c r="R36" s="168"/>
      <c r="S36" s="169"/>
      <c r="T36" s="170" t="s">
        <v>198</v>
      </c>
      <c r="U36" s="171">
        <f t="shared" si="3"/>
        <v>255</v>
      </c>
      <c r="V36" s="172">
        <f t="shared" si="0"/>
        <v>330</v>
      </c>
    </row>
    <row r="37" spans="3:22" x14ac:dyDescent="0.25">
      <c r="C37" t="s">
        <v>6</v>
      </c>
      <c r="D37" s="148">
        <v>0.82509999999999994</v>
      </c>
      <c r="E37" s="148">
        <v>1.135</v>
      </c>
      <c r="F37" s="144"/>
      <c r="G37" s="11">
        <f t="shared" ref="G37:H39" si="6">G36</f>
        <v>4</v>
      </c>
      <c r="H37" s="332">
        <f t="shared" si="6"/>
        <v>21</v>
      </c>
      <c r="J37" s="685">
        <v>0.2</v>
      </c>
      <c r="L37" s="386">
        <v>183</v>
      </c>
      <c r="M37" s="686">
        <f t="shared" si="2"/>
        <v>220</v>
      </c>
      <c r="N37" s="686"/>
      <c r="P37" s="173" t="str">
        <f>_xlfn.CONCAT(TEXT($D37,"#.0000"),""""," to ",TEXT($E37,"#.000#"),"""")</f>
        <v>.8251" to 1.135"</v>
      </c>
      <c r="Q37" s="174"/>
      <c r="R37" s="175" t="s">
        <v>595</v>
      </c>
      <c r="S37" s="175" t="s">
        <v>594</v>
      </c>
      <c r="T37" s="176" t="s">
        <v>197</v>
      </c>
      <c r="U37" s="175">
        <f t="shared" si="3"/>
        <v>220</v>
      </c>
      <c r="V37" s="177">
        <f t="shared" si="0"/>
        <v>290</v>
      </c>
    </row>
    <row r="38" spans="3:22" x14ac:dyDescent="0.25">
      <c r="C38" t="s">
        <v>585</v>
      </c>
      <c r="D38" s="149">
        <v>20.960999999999999</v>
      </c>
      <c r="E38" s="149">
        <v>28.83</v>
      </c>
      <c r="F38" s="144"/>
      <c r="G38" s="11">
        <f t="shared" si="6"/>
        <v>4</v>
      </c>
      <c r="H38" s="332">
        <f t="shared" si="6"/>
        <v>21</v>
      </c>
      <c r="J38" s="685">
        <v>0.2</v>
      </c>
      <c r="L38" s="386">
        <v>173</v>
      </c>
      <c r="M38" s="686">
        <f t="shared" si="2"/>
        <v>210</v>
      </c>
      <c r="N38" s="686"/>
      <c r="P38" s="173" t="str">
        <f>_xlfn.CONCAT(TEXT($D38,"0.00#"),"mm"," to ",TEXT($E38,"0.00#"),"mm")</f>
        <v>20.961mm to 28.83mm</v>
      </c>
      <c r="Q38" s="174"/>
      <c r="R38" s="351" t="s">
        <v>593</v>
      </c>
      <c r="S38" s="178" t="s">
        <v>592</v>
      </c>
      <c r="T38" s="176" t="s">
        <v>209</v>
      </c>
      <c r="U38" s="175">
        <f t="shared" si="3"/>
        <v>210</v>
      </c>
      <c r="V38" s="177">
        <f t="shared" si="0"/>
        <v>275</v>
      </c>
    </row>
    <row r="39" spans="3:22" x14ac:dyDescent="0.25">
      <c r="D39" s="148"/>
      <c r="E39" s="148"/>
      <c r="F39" s="144"/>
      <c r="G39" s="11">
        <f t="shared" si="6"/>
        <v>4</v>
      </c>
      <c r="H39" s="332">
        <f t="shared" si="6"/>
        <v>21</v>
      </c>
      <c r="J39" s="693">
        <v>0.2</v>
      </c>
      <c r="L39" s="687">
        <v>171</v>
      </c>
      <c r="M39" s="716">
        <f t="shared" si="2"/>
        <v>205</v>
      </c>
      <c r="N39" s="686"/>
      <c r="P39" s="179"/>
      <c r="Q39" s="180"/>
      <c r="R39" s="181"/>
      <c r="S39" s="352"/>
      <c r="T39" s="183" t="s">
        <v>196</v>
      </c>
      <c r="U39" s="184">
        <f t="shared" si="3"/>
        <v>205</v>
      </c>
      <c r="V39" s="185">
        <f t="shared" si="0"/>
        <v>270</v>
      </c>
    </row>
    <row r="40" spans="3:22" x14ac:dyDescent="0.25">
      <c r="D40" s="330"/>
      <c r="E40" s="330"/>
      <c r="G40" s="11">
        <v>5</v>
      </c>
      <c r="H40" s="340">
        <f>_xlfn.XLOOKUP(G40,$G$15:$G$19,$H$15:$H$19)</f>
        <v>22</v>
      </c>
      <c r="J40" s="685">
        <v>0.2</v>
      </c>
      <c r="L40" s="386">
        <v>242</v>
      </c>
      <c r="M40" s="686">
        <f t="shared" si="2"/>
        <v>290</v>
      </c>
      <c r="N40" s="686"/>
      <c r="P40" s="157"/>
      <c r="R40" s="164"/>
      <c r="S40" s="165"/>
      <c r="T40" s="159" t="s">
        <v>198</v>
      </c>
      <c r="U40" s="160">
        <f t="shared" si="3"/>
        <v>290</v>
      </c>
      <c r="V40" s="161">
        <f t="shared" si="0"/>
        <v>375</v>
      </c>
    </row>
    <row r="41" spans="3:22" x14ac:dyDescent="0.25">
      <c r="C41" t="s">
        <v>6</v>
      </c>
      <c r="D41" s="148">
        <v>1.1351</v>
      </c>
      <c r="E41" s="148">
        <v>1.51</v>
      </c>
      <c r="F41" s="144"/>
      <c r="G41" s="11">
        <f t="shared" ref="G41:H43" si="7">G40</f>
        <v>5</v>
      </c>
      <c r="H41" s="332">
        <f t="shared" si="7"/>
        <v>22</v>
      </c>
      <c r="J41" s="685">
        <v>0.2</v>
      </c>
      <c r="L41" s="386">
        <v>202</v>
      </c>
      <c r="M41" s="686">
        <f t="shared" si="2"/>
        <v>240</v>
      </c>
      <c r="N41" s="686"/>
      <c r="P41" s="162" t="str">
        <f>_xlfn.CONCAT(TEXT($D41,"#.0000"),""""," to ",TEXT($E41,"#.000#"),"""")</f>
        <v>1.1351" to 1.510"</v>
      </c>
      <c r="Q41" s="163"/>
      <c r="R41" s="160" t="s">
        <v>591</v>
      </c>
      <c r="S41" s="348" t="s">
        <v>590</v>
      </c>
      <c r="T41" s="159" t="s">
        <v>197</v>
      </c>
      <c r="U41" s="160">
        <f t="shared" si="3"/>
        <v>240</v>
      </c>
      <c r="V41" s="161">
        <f t="shared" si="0"/>
        <v>315</v>
      </c>
    </row>
    <row r="42" spans="3:22" x14ac:dyDescent="0.25">
      <c r="C42" t="s">
        <v>585</v>
      </c>
      <c r="D42" s="149">
        <v>28.831</v>
      </c>
      <c r="E42" s="149">
        <v>38.35</v>
      </c>
      <c r="F42" s="144"/>
      <c r="G42" s="11">
        <f t="shared" si="7"/>
        <v>5</v>
      </c>
      <c r="H42" s="332">
        <f t="shared" si="7"/>
        <v>22</v>
      </c>
      <c r="J42" s="685">
        <v>0.2</v>
      </c>
      <c r="L42" s="386">
        <v>180</v>
      </c>
      <c r="M42" s="686">
        <f t="shared" si="2"/>
        <v>215</v>
      </c>
      <c r="N42" s="686"/>
      <c r="P42" s="162" t="str">
        <f>_xlfn.CONCAT(TEXT($D42,"0.00#"),"mm"," to ",TEXT($E42,"0.00#"),"mm")</f>
        <v>28.831mm to 38.35mm</v>
      </c>
      <c r="Q42" s="163"/>
      <c r="R42" s="348" t="s">
        <v>589</v>
      </c>
      <c r="S42" s="220" t="s">
        <v>588</v>
      </c>
      <c r="T42" s="159" t="s">
        <v>209</v>
      </c>
      <c r="U42" s="160">
        <f t="shared" si="3"/>
        <v>215</v>
      </c>
      <c r="V42" s="161">
        <f t="shared" si="0"/>
        <v>285</v>
      </c>
    </row>
    <row r="43" spans="3:22" ht="15.75" thickBot="1" x14ac:dyDescent="0.3">
      <c r="C43" s="144"/>
      <c r="D43" s="144"/>
      <c r="E43" s="144"/>
      <c r="F43" s="144"/>
      <c r="G43" s="11">
        <f t="shared" si="7"/>
        <v>5</v>
      </c>
      <c r="H43" s="332">
        <f t="shared" si="7"/>
        <v>22</v>
      </c>
      <c r="J43" s="693">
        <v>0.2</v>
      </c>
      <c r="L43" s="687">
        <v>176</v>
      </c>
      <c r="M43" s="716">
        <f t="shared" si="2"/>
        <v>210</v>
      </c>
      <c r="N43" s="686"/>
      <c r="P43" s="186"/>
      <c r="Q43" s="187"/>
      <c r="R43" s="188"/>
      <c r="S43" s="188"/>
      <c r="T43" s="189" t="s">
        <v>196</v>
      </c>
      <c r="U43" s="190">
        <f t="shared" si="3"/>
        <v>210</v>
      </c>
      <c r="V43" s="191">
        <f t="shared" si="0"/>
        <v>280</v>
      </c>
    </row>
    <row r="44" spans="3:22" ht="9.9499999999999993" customHeight="1" x14ac:dyDescent="0.25"/>
    <row r="45" spans="3:22" x14ac:dyDescent="0.25">
      <c r="C45" s="511"/>
      <c r="P45" s="719" t="s">
        <v>773</v>
      </c>
    </row>
    <row r="46" spans="3:22" x14ac:dyDescent="0.25">
      <c r="C46" s="561" t="s">
        <v>684</v>
      </c>
      <c r="P46" s="563" t="str">
        <f>_xlfn.CONCAT($C$8,"  ",C46)</f>
        <v>•  Maximum Go/NoGo step is .025"</v>
      </c>
    </row>
    <row r="47" spans="3:22" x14ac:dyDescent="0.25">
      <c r="C47" s="564" t="s">
        <v>717</v>
      </c>
      <c r="P47" s="563" t="str">
        <f>_xlfn.CONCAT($C$8,"  ",C47)</f>
        <v>•  Go and NoGo sections are separated by a 1/8" recess</v>
      </c>
    </row>
    <row r="48" spans="3:22" x14ac:dyDescent="0.25">
      <c r="C48" s="564" t="s">
        <v>685</v>
      </c>
      <c r="P48" s="563" t="str">
        <f>_xlfn.CONCAT($C$8,"  ",C48)</f>
        <v>•  Tabulated member lengths exclude the length of the shank</v>
      </c>
    </row>
    <row r="50" spans="1:16" ht="15.75" x14ac:dyDescent="0.25">
      <c r="P50" s="24"/>
    </row>
    <row r="54" spans="1:16" x14ac:dyDescent="0.25">
      <c r="P54" s="35"/>
    </row>
    <row r="58" spans="1:16" x14ac:dyDescent="0.25">
      <c r="P58" s="35"/>
    </row>
    <row r="63" spans="1:16" x14ac:dyDescent="0.25">
      <c r="A63" s="50"/>
      <c r="B63" s="50"/>
    </row>
  </sheetData>
  <sheetProtection algorithmName="SHA-512" hashValue="aBMLhJHEirbr/qVl0TVSYgoT9QmifXtXKVZGFgWNtUJ9xEQSF25ImNqO09Q0B4NWXiuKrezSVhX4sN7ZyjKETg==" saltValue="njWoxK18l7ywKlDGuIskXg==" spinCount="100000" sheet="1" objects="1" scenarios="1"/>
  <mergeCells count="2">
    <mergeCell ref="P22:Q23"/>
    <mergeCell ref="T22:T23"/>
  </mergeCells>
  <conditionalFormatting sqref="C46:C47">
    <cfRule type="expression" dxfId="14" priority="2">
      <formula>$R46="y"</formula>
    </cfRule>
  </conditionalFormatting>
  <conditionalFormatting sqref="C48">
    <cfRule type="expression" dxfId="13" priority="3">
      <formula>#REF!="y"</formula>
    </cfRule>
  </conditionalFormatting>
  <conditionalFormatting sqref="P8:P20">
    <cfRule type="expression" dxfId="12" priority="5">
      <formula>#REF!="y"</formula>
    </cfRule>
  </conditionalFormatting>
  <conditionalFormatting sqref="P45">
    <cfRule type="expression" dxfId="11" priority="4">
      <formula>$R45="y"</formula>
    </cfRule>
  </conditionalFormatting>
  <conditionalFormatting sqref="P46:P48">
    <cfRule type="expression" dxfId="10" priority="1">
      <formula>#REF!="y"</formula>
    </cfRule>
  </conditionalFormatting>
  <pageMargins left="0.7" right="0.7" top="0.75" bottom="0.75" header="0.3" footer="0.3"/>
  <pageSetup scale="92" fitToHeight="0" orientation="landscape" horizontalDpi="1200" verticalDpi="12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AE9FD-1B8D-468D-B634-0AC8B970C59B}">
  <sheetPr codeName="Sheet22">
    <outlinePr summaryBelow="0"/>
    <pageSetUpPr autoPageBreaks="0"/>
  </sheetPr>
  <dimension ref="A1:V37"/>
  <sheetViews>
    <sheetView showGridLines="0" zoomScale="90" zoomScaleNormal="90" workbookViewId="0">
      <selection activeCell="N45" sqref="N45"/>
    </sheetView>
  </sheetViews>
  <sheetFormatPr defaultRowHeight="15" outlineLevelRow="1" outlineLevelCol="1" x14ac:dyDescent="0.25"/>
  <cols>
    <col min="1" max="2" width="1.7109375" customWidth="1"/>
    <col min="3" max="3" width="12" hidden="1" customWidth="1" outlineLevel="1"/>
    <col min="4" max="4" width="12.28515625" hidden="1" customWidth="1" outlineLevel="1"/>
    <col min="5" max="6" width="9.140625" hidden="1" customWidth="1" outlineLevel="1"/>
    <col min="7" max="7" width="10.5703125" hidden="1" customWidth="1" outlineLevel="1"/>
    <col min="8" max="11" width="0" hidden="1" customWidth="1" outlineLevel="1"/>
    <col min="12" max="12" width="10.5703125" hidden="1" customWidth="1" outlineLevel="1"/>
    <col min="13" max="13" width="2.7109375" hidden="1" customWidth="1" outlineLevel="1"/>
    <col min="14" max="14" width="13.7109375" customWidth="1" collapsed="1"/>
    <col min="15" max="15" width="13.7109375" customWidth="1"/>
    <col min="16" max="16" width="16.28515625" customWidth="1"/>
    <col min="17" max="17" width="16.42578125" customWidth="1"/>
    <col min="18" max="18" width="16.42578125" style="11" customWidth="1"/>
    <col min="19" max="22" width="16.42578125" customWidth="1"/>
    <col min="23" max="23" width="9.140625" customWidth="1"/>
  </cols>
  <sheetData>
    <row r="1" spans="1:22" ht="5.0999999999999996" customHeight="1" x14ac:dyDescent="0.25"/>
    <row r="2" spans="1:22" ht="21" x14ac:dyDescent="0.35">
      <c r="N2" s="1" t="s">
        <v>218</v>
      </c>
      <c r="O2" s="1"/>
      <c r="Q2" s="41"/>
    </row>
    <row r="3" spans="1:22" ht="15.75" x14ac:dyDescent="0.25">
      <c r="E3" s="143"/>
      <c r="F3" s="143"/>
      <c r="G3" s="143"/>
      <c r="L3" s="143"/>
      <c r="N3" s="569" t="s">
        <v>666</v>
      </c>
    </row>
    <row r="4" spans="1:22" collapsed="1" x14ac:dyDescent="0.25">
      <c r="E4" s="143"/>
      <c r="F4" s="143"/>
      <c r="G4" s="143"/>
      <c r="L4" s="143"/>
    </row>
    <row r="5" spans="1:22" hidden="1" outlineLevel="1" x14ac:dyDescent="0.25">
      <c r="C5" s="743" t="s">
        <v>893</v>
      </c>
      <c r="D5" s="743" t="s">
        <v>894</v>
      </c>
      <c r="E5" s="143"/>
      <c r="F5" s="143"/>
      <c r="G5" s="143"/>
      <c r="L5" s="143"/>
    </row>
    <row r="6" spans="1:22" hidden="1" outlineLevel="1" x14ac:dyDescent="0.25">
      <c r="C6" s="2">
        <v>360</v>
      </c>
      <c r="D6" s="2" t="s">
        <v>218</v>
      </c>
      <c r="E6" s="143"/>
      <c r="F6" s="143"/>
      <c r="G6" s="143"/>
      <c r="L6" s="143"/>
    </row>
    <row r="7" spans="1:22" hidden="1" outlineLevel="1" x14ac:dyDescent="0.25">
      <c r="C7" s="32"/>
      <c r="E7" s="143"/>
      <c r="F7" s="143"/>
      <c r="G7" s="143"/>
      <c r="L7" s="143"/>
    </row>
    <row r="8" spans="1:22" hidden="1" outlineLevel="1" x14ac:dyDescent="0.25">
      <c r="C8" s="32"/>
      <c r="E8" s="143"/>
      <c r="F8" s="143"/>
      <c r="G8" s="143"/>
      <c r="L8" s="143"/>
    </row>
    <row r="9" spans="1:22" x14ac:dyDescent="0.25">
      <c r="C9" s="511" t="s">
        <v>648</v>
      </c>
      <c r="D9" s="515" t="s">
        <v>660</v>
      </c>
      <c r="E9" s="516"/>
      <c r="F9" s="516"/>
      <c r="G9" s="516"/>
      <c r="L9" s="516"/>
      <c r="M9" s="518"/>
      <c r="N9" s="511" t="str">
        <f>_xlfn.CONCAT($C$9,"  ",D9)</f>
        <v>•  Class XX, X, or Y</v>
      </c>
    </row>
    <row r="10" spans="1:22" x14ac:dyDescent="0.25">
      <c r="C10" s="516"/>
      <c r="D10" s="13" t="s">
        <v>492</v>
      </c>
      <c r="E10" s="516"/>
      <c r="F10" s="516"/>
      <c r="G10" s="515"/>
      <c r="L10" s="515"/>
      <c r="M10" s="11"/>
      <c r="N10" s="511" t="str">
        <f>_xlfn.CONCAT($C$9,"  ",D10)</f>
        <v>•  Available in steel only</v>
      </c>
    </row>
    <row r="11" spans="1:22" x14ac:dyDescent="0.25">
      <c r="C11" s="511"/>
      <c r="D11" s="515" t="s">
        <v>661</v>
      </c>
      <c r="E11" s="516"/>
      <c r="F11" s="516"/>
      <c r="G11" s="516"/>
      <c r="L11" s="516"/>
      <c r="M11" s="518"/>
      <c r="N11" s="511" t="str">
        <f>_xlfn.CONCAT($C$9,"  ",D11)</f>
        <v>•  Sold with insulating grips</v>
      </c>
    </row>
    <row r="12" spans="1:22" x14ac:dyDescent="0.25">
      <c r="D12" s="515"/>
      <c r="E12" s="143"/>
      <c r="F12" s="143"/>
      <c r="G12" s="143"/>
      <c r="L12" s="143"/>
    </row>
    <row r="13" spans="1:22" ht="5.0999999999999996" customHeight="1" thickBot="1" x14ac:dyDescent="0.3">
      <c r="E13" s="143"/>
      <c r="F13" s="143"/>
      <c r="G13" s="143"/>
      <c r="L13" s="143"/>
    </row>
    <row r="14" spans="1:22" ht="16.149999999999999" customHeight="1" x14ac:dyDescent="0.25">
      <c r="C14" s="32"/>
      <c r="N14" s="767" t="str">
        <f>$N$2</f>
        <v>Master Setting Discs</v>
      </c>
      <c r="O14" s="772"/>
      <c r="P14" s="772"/>
      <c r="Q14" s="777"/>
      <c r="R14" s="777"/>
      <c r="S14" s="777"/>
      <c r="T14" s="777"/>
      <c r="U14" s="777"/>
      <c r="V14" s="778"/>
    </row>
    <row r="15" spans="1:22" s="11" customFormat="1" ht="20.25" customHeight="1" x14ac:dyDescent="0.4">
      <c r="A15"/>
      <c r="B15"/>
      <c r="G15" s="11" t="s">
        <v>619</v>
      </c>
      <c r="I15" s="561">
        <v>0.35</v>
      </c>
      <c r="N15" s="157"/>
      <c r="Q15" s="393" t="s">
        <v>220</v>
      </c>
      <c r="R15" s="394"/>
      <c r="S15" s="393" t="s">
        <v>221</v>
      </c>
      <c r="T15" s="394"/>
      <c r="U15" s="393" t="s">
        <v>220</v>
      </c>
      <c r="V15" s="763"/>
    </row>
    <row r="16" spans="1:22" ht="17.25" x14ac:dyDescent="0.4">
      <c r="N16" s="1078" t="s">
        <v>3</v>
      </c>
      <c r="O16" s="1079"/>
      <c r="P16" s="1080" t="s">
        <v>579</v>
      </c>
      <c r="Q16" s="395" t="s">
        <v>621</v>
      </c>
      <c r="R16" s="396"/>
      <c r="S16" s="397" t="s">
        <v>622</v>
      </c>
      <c r="T16" s="397"/>
      <c r="U16" s="398" t="s">
        <v>623</v>
      </c>
      <c r="V16" s="399"/>
    </row>
    <row r="17" spans="1:22" s="80" customFormat="1" ht="18.75" customHeight="1" x14ac:dyDescent="0.25">
      <c r="A17"/>
      <c r="B17"/>
      <c r="G17" s="366"/>
      <c r="I17" s="565">
        <v>1</v>
      </c>
      <c r="J17" s="565">
        <v>2</v>
      </c>
      <c r="K17" s="565">
        <v>3</v>
      </c>
      <c r="L17" s="366"/>
      <c r="N17" s="1074"/>
      <c r="O17" s="1075"/>
      <c r="P17" s="1081"/>
      <c r="Q17" s="400" t="s">
        <v>219</v>
      </c>
      <c r="R17" s="401" t="s">
        <v>573</v>
      </c>
      <c r="S17" s="402" t="s">
        <v>219</v>
      </c>
      <c r="T17" s="400" t="s">
        <v>573</v>
      </c>
      <c r="U17" s="401" t="s">
        <v>219</v>
      </c>
      <c r="V17" s="403" t="s">
        <v>573</v>
      </c>
    </row>
    <row r="18" spans="1:22" x14ac:dyDescent="0.25">
      <c r="C18" s="80" t="s">
        <v>6</v>
      </c>
      <c r="D18" s="148">
        <v>0.2301</v>
      </c>
      <c r="E18" s="148">
        <v>0.36499999999999999</v>
      </c>
      <c r="F18" s="354"/>
      <c r="G18" s="367">
        <v>1</v>
      </c>
      <c r="I18" s="561">
        <v>122</v>
      </c>
      <c r="J18" s="561">
        <v>222</v>
      </c>
      <c r="K18" s="561">
        <v>112</v>
      </c>
      <c r="L18" s="367"/>
      <c r="M18" s="80"/>
      <c r="N18" s="404" t="str">
        <f>_xlfn.CONCAT(TEXT($D18,"#.000#"),""""," to ",TEXT($E18,"#.000#"),"""")</f>
        <v>.2301" to .365"</v>
      </c>
      <c r="O18" s="20"/>
      <c r="P18" s="159" t="s">
        <v>198</v>
      </c>
      <c r="Q18" s="337">
        <v>1</v>
      </c>
      <c r="R18" s="405">
        <f t="shared" ref="R18:R32" si="0">CEILING(PRODUCT(1+$I$15,I18),1)</f>
        <v>165</v>
      </c>
      <c r="S18" s="764">
        <v>1</v>
      </c>
      <c r="T18" s="160">
        <f t="shared" ref="T18:T32" si="1">CEILING(PRODUCT(1+$I$15,J18),1)</f>
        <v>300</v>
      </c>
      <c r="U18" s="406">
        <v>0.5</v>
      </c>
      <c r="V18" s="379">
        <f t="shared" ref="V18:V32" si="2">CEILING(PRODUCT(1+$I$15,K18),1)</f>
        <v>152</v>
      </c>
    </row>
    <row r="19" spans="1:22" s="80" customFormat="1" x14ac:dyDescent="0.25">
      <c r="A19"/>
      <c r="B19"/>
      <c r="C19" s="44" t="s">
        <v>585</v>
      </c>
      <c r="D19" s="149">
        <v>5.8410000000000002</v>
      </c>
      <c r="E19" s="149">
        <v>9.27</v>
      </c>
      <c r="F19" s="356"/>
      <c r="G19" s="368"/>
      <c r="I19" s="565">
        <v>105</v>
      </c>
      <c r="J19" s="565">
        <v>177</v>
      </c>
      <c r="K19" s="565">
        <v>88</v>
      </c>
      <c r="L19" s="368"/>
      <c r="M19" s="44"/>
      <c r="N19" s="404" t="str">
        <f>_xlfn.CONCAT(TEXT($D19,"0.00#"),"mm"," to ",TEXT($E19,"0.00#"),"mm")</f>
        <v>5.841mm to 9.27mm</v>
      </c>
      <c r="O19" s="407"/>
      <c r="P19" s="309" t="s">
        <v>197</v>
      </c>
      <c r="Q19" s="408">
        <v>25.4</v>
      </c>
      <c r="R19" s="405">
        <f t="shared" si="0"/>
        <v>142</v>
      </c>
      <c r="S19" s="765">
        <v>25.4</v>
      </c>
      <c r="T19" s="160">
        <f t="shared" si="1"/>
        <v>239</v>
      </c>
      <c r="U19" s="409">
        <v>12.7</v>
      </c>
      <c r="V19" s="379">
        <f t="shared" si="2"/>
        <v>119</v>
      </c>
    </row>
    <row r="20" spans="1:22" s="44" customFormat="1" x14ac:dyDescent="0.25">
      <c r="A20"/>
      <c r="B20"/>
      <c r="G20" s="369"/>
      <c r="I20" s="566">
        <v>97</v>
      </c>
      <c r="J20" s="566">
        <v>170</v>
      </c>
      <c r="K20" s="566">
        <v>77</v>
      </c>
      <c r="L20" s="369"/>
      <c r="N20" s="410"/>
      <c r="P20" s="411" t="s">
        <v>209</v>
      </c>
      <c r="Q20" s="412"/>
      <c r="R20" s="405">
        <f t="shared" si="0"/>
        <v>131</v>
      </c>
      <c r="T20" s="160">
        <f t="shared" si="1"/>
        <v>230</v>
      </c>
      <c r="U20" s="413"/>
      <c r="V20" s="379">
        <f t="shared" si="2"/>
        <v>104</v>
      </c>
    </row>
    <row r="21" spans="1:22" s="80" customFormat="1" x14ac:dyDescent="0.25">
      <c r="A21"/>
      <c r="B21"/>
      <c r="C21" s="80" t="s">
        <v>6</v>
      </c>
      <c r="D21" s="148">
        <v>0.36509999999999998</v>
      </c>
      <c r="E21" s="148">
        <v>0.51</v>
      </c>
      <c r="F21" s="354"/>
      <c r="G21" s="367">
        <v>2</v>
      </c>
      <c r="I21" s="565">
        <v>128</v>
      </c>
      <c r="J21" s="565">
        <v>226</v>
      </c>
      <c r="K21" s="565">
        <v>110</v>
      </c>
      <c r="L21" s="367"/>
      <c r="N21" s="414" t="str">
        <f>_xlfn.CONCAT(TEXT($D21,"#.000#"),""""," to ",TEXT($E21,"#.000#"),"""")</f>
        <v>.3651" to .510"</v>
      </c>
      <c r="O21" s="415"/>
      <c r="P21" s="170" t="s">
        <v>198</v>
      </c>
      <c r="Q21" s="416">
        <v>1.125</v>
      </c>
      <c r="R21" s="417">
        <f t="shared" si="0"/>
        <v>173</v>
      </c>
      <c r="S21" s="418">
        <v>1.125</v>
      </c>
      <c r="T21" s="171">
        <f t="shared" si="1"/>
        <v>306</v>
      </c>
      <c r="U21" s="419">
        <v>0.5625</v>
      </c>
      <c r="V21" s="380">
        <f t="shared" si="2"/>
        <v>149</v>
      </c>
    </row>
    <row r="22" spans="1:22" s="44" customFormat="1" x14ac:dyDescent="0.25">
      <c r="A22"/>
      <c r="B22"/>
      <c r="C22" s="44" t="s">
        <v>585</v>
      </c>
      <c r="D22" s="149">
        <v>9.2710000000000008</v>
      </c>
      <c r="E22" s="149">
        <v>12.95</v>
      </c>
      <c r="F22" s="356"/>
      <c r="G22" s="368"/>
      <c r="I22" s="566">
        <v>105</v>
      </c>
      <c r="J22" s="566">
        <v>185</v>
      </c>
      <c r="K22" s="566">
        <v>93</v>
      </c>
      <c r="L22" s="368"/>
      <c r="N22" s="420" t="str">
        <f>_xlfn.CONCAT(TEXT($D22,"0.00#"),"mm"," to ",TEXT($E22,"0.00#"),"mm")</f>
        <v>9.271mm to 12.95mm</v>
      </c>
      <c r="O22" s="766"/>
      <c r="P22" s="421" t="s">
        <v>197</v>
      </c>
      <c r="Q22" s="422">
        <v>28.6</v>
      </c>
      <c r="R22" s="423">
        <f t="shared" si="0"/>
        <v>142</v>
      </c>
      <c r="S22" s="424">
        <v>28.6</v>
      </c>
      <c r="T22" s="175">
        <f t="shared" si="1"/>
        <v>250</v>
      </c>
      <c r="U22" s="422">
        <v>14.3</v>
      </c>
      <c r="V22" s="382">
        <f t="shared" si="2"/>
        <v>126</v>
      </c>
    </row>
    <row r="23" spans="1:22" s="44" customFormat="1" x14ac:dyDescent="0.25">
      <c r="A23"/>
      <c r="B23"/>
      <c r="D23" s="356"/>
      <c r="E23" s="356"/>
      <c r="F23" s="356"/>
      <c r="G23" s="368"/>
      <c r="I23" s="566">
        <v>97</v>
      </c>
      <c r="J23" s="566">
        <v>176</v>
      </c>
      <c r="K23" s="566">
        <v>86</v>
      </c>
      <c r="L23" s="368"/>
      <c r="N23" s="425"/>
      <c r="O23" s="426"/>
      <c r="P23" s="427" t="s">
        <v>209</v>
      </c>
      <c r="Q23" s="428"/>
      <c r="R23" s="429">
        <f t="shared" si="0"/>
        <v>131</v>
      </c>
      <c r="S23" s="430"/>
      <c r="T23" s="184">
        <f t="shared" si="1"/>
        <v>238</v>
      </c>
      <c r="U23" s="428"/>
      <c r="V23" s="381">
        <f t="shared" si="2"/>
        <v>117</v>
      </c>
    </row>
    <row r="24" spans="1:22" s="80" customFormat="1" x14ac:dyDescent="0.25">
      <c r="A24"/>
      <c r="B24"/>
      <c r="C24" s="80" t="s">
        <v>6</v>
      </c>
      <c r="D24" s="148">
        <v>0.5101</v>
      </c>
      <c r="E24" s="148">
        <v>0.82499999999999996</v>
      </c>
      <c r="F24" s="354"/>
      <c r="G24" s="367">
        <v>3</v>
      </c>
      <c r="I24" s="565">
        <v>128</v>
      </c>
      <c r="J24" s="565">
        <v>238</v>
      </c>
      <c r="K24" s="565">
        <v>117</v>
      </c>
      <c r="L24" s="367"/>
      <c r="N24" s="407" t="str">
        <f>_xlfn.CONCAT(TEXT($D24,"#.000#"),""""," to ",TEXT($E24,"#.000#"),"""")</f>
        <v>.5101" to .825"</v>
      </c>
      <c r="O24" s="20"/>
      <c r="P24" s="431" t="s">
        <v>198</v>
      </c>
      <c r="Q24" s="337">
        <v>1.25</v>
      </c>
      <c r="R24" s="405">
        <f t="shared" si="0"/>
        <v>173</v>
      </c>
      <c r="S24" s="764">
        <v>1.25</v>
      </c>
      <c r="T24" s="160">
        <f t="shared" si="1"/>
        <v>322</v>
      </c>
      <c r="U24" s="432">
        <v>0.625</v>
      </c>
      <c r="V24" s="379">
        <f t="shared" si="2"/>
        <v>158</v>
      </c>
    </row>
    <row r="25" spans="1:22" s="44" customFormat="1" x14ac:dyDescent="0.25">
      <c r="A25"/>
      <c r="B25"/>
      <c r="C25" s="44" t="s">
        <v>585</v>
      </c>
      <c r="D25" s="149">
        <v>12.951000000000001</v>
      </c>
      <c r="E25" s="149">
        <v>20.96</v>
      </c>
      <c r="F25" s="356"/>
      <c r="G25" s="368"/>
      <c r="I25" s="566">
        <v>111</v>
      </c>
      <c r="J25" s="566">
        <v>198</v>
      </c>
      <c r="K25" s="566">
        <v>100</v>
      </c>
      <c r="L25" s="368"/>
      <c r="N25" s="407" t="str">
        <f>_xlfn.CONCAT(TEXT($D25,"0.00#"),"mm"," to ",TEXT($E25,"0.00#"),"mm")</f>
        <v>12.951mm to 20.96mm</v>
      </c>
      <c r="O25" s="433"/>
      <c r="P25" s="434" t="s">
        <v>197</v>
      </c>
      <c r="Q25" s="408">
        <v>31.8</v>
      </c>
      <c r="R25" s="405">
        <f t="shared" si="0"/>
        <v>150</v>
      </c>
      <c r="S25" s="765">
        <v>31.8</v>
      </c>
      <c r="T25" s="160">
        <f t="shared" si="1"/>
        <v>268</v>
      </c>
      <c r="U25" s="409">
        <v>15.9</v>
      </c>
      <c r="V25" s="379">
        <f t="shared" si="2"/>
        <v>135</v>
      </c>
    </row>
    <row r="26" spans="1:22" s="44" customFormat="1" x14ac:dyDescent="0.25">
      <c r="A26"/>
      <c r="B26"/>
      <c r="D26" s="356"/>
      <c r="E26" s="356"/>
      <c r="F26" s="356"/>
      <c r="G26" s="368"/>
      <c r="I26" s="566">
        <v>105</v>
      </c>
      <c r="J26" s="566">
        <v>181</v>
      </c>
      <c r="K26" s="566">
        <v>86</v>
      </c>
      <c r="L26" s="368"/>
      <c r="N26" s="435"/>
      <c r="O26" s="436"/>
      <c r="P26" s="437" t="s">
        <v>209</v>
      </c>
      <c r="Q26" s="412"/>
      <c r="R26" s="405">
        <f t="shared" si="0"/>
        <v>142</v>
      </c>
      <c r="T26" s="160">
        <f t="shared" si="1"/>
        <v>245</v>
      </c>
      <c r="U26" s="438"/>
      <c r="V26" s="379">
        <f t="shared" si="2"/>
        <v>117</v>
      </c>
    </row>
    <row r="27" spans="1:22" x14ac:dyDescent="0.25">
      <c r="C27" t="s">
        <v>6</v>
      </c>
      <c r="D27" s="148">
        <v>0.82509999999999994</v>
      </c>
      <c r="E27" s="148">
        <v>1.135</v>
      </c>
      <c r="F27" s="144"/>
      <c r="G27" s="370">
        <v>4</v>
      </c>
      <c r="I27" s="561">
        <v>140</v>
      </c>
      <c r="J27" s="561">
        <v>245</v>
      </c>
      <c r="K27" s="561">
        <v>122</v>
      </c>
      <c r="L27" s="370"/>
      <c r="N27" s="439" t="str">
        <f>_xlfn.CONCAT(TEXT($D27,"#.000#"),""""," to ",TEXT($E27,"#.000#"),"""")</f>
        <v>.8251" to 1.135"</v>
      </c>
      <c r="O27" s="415"/>
      <c r="P27" s="170" t="s">
        <v>198</v>
      </c>
      <c r="Q27" s="416">
        <v>1.375</v>
      </c>
      <c r="R27" s="417">
        <f t="shared" si="0"/>
        <v>189</v>
      </c>
      <c r="S27" s="416">
        <v>1.375</v>
      </c>
      <c r="T27" s="417">
        <f t="shared" si="1"/>
        <v>331</v>
      </c>
      <c r="U27" s="419">
        <v>0.6875</v>
      </c>
      <c r="V27" s="172">
        <f t="shared" si="2"/>
        <v>165</v>
      </c>
    </row>
    <row r="28" spans="1:22" s="44" customFormat="1" x14ac:dyDescent="0.25">
      <c r="A28"/>
      <c r="B28"/>
      <c r="C28" s="44" t="s">
        <v>585</v>
      </c>
      <c r="D28" s="149">
        <v>20.960999999999999</v>
      </c>
      <c r="E28" s="149">
        <v>28.83</v>
      </c>
      <c r="F28" s="356"/>
      <c r="G28" s="368"/>
      <c r="I28" s="566">
        <v>118</v>
      </c>
      <c r="J28" s="566">
        <v>210</v>
      </c>
      <c r="K28" s="566">
        <v>108</v>
      </c>
      <c r="L28" s="368"/>
      <c r="N28" s="440" t="str">
        <f>_xlfn.CONCAT(TEXT($D28,"0.00#"),"mm"," to ",TEXT($E28,"0.00#"),"mm")</f>
        <v>20.961mm to 28.83mm</v>
      </c>
      <c r="O28" s="766"/>
      <c r="P28" s="318" t="s">
        <v>197</v>
      </c>
      <c r="Q28" s="422">
        <v>34.9</v>
      </c>
      <c r="R28" s="423">
        <f t="shared" si="0"/>
        <v>160</v>
      </c>
      <c r="S28" s="422">
        <v>34.9</v>
      </c>
      <c r="T28" s="423">
        <f t="shared" si="1"/>
        <v>284</v>
      </c>
      <c r="U28" s="422">
        <v>17.5</v>
      </c>
      <c r="V28" s="177">
        <f t="shared" si="2"/>
        <v>146</v>
      </c>
    </row>
    <row r="29" spans="1:22" s="44" customFormat="1" x14ac:dyDescent="0.25">
      <c r="A29"/>
      <c r="B29"/>
      <c r="D29" s="356"/>
      <c r="E29" s="356"/>
      <c r="F29" s="356"/>
      <c r="G29" s="368"/>
      <c r="I29" s="566">
        <v>110</v>
      </c>
      <c r="J29" s="566">
        <v>187</v>
      </c>
      <c r="K29" s="566">
        <v>97</v>
      </c>
      <c r="L29" s="368"/>
      <c r="N29" s="425"/>
      <c r="O29" s="441"/>
      <c r="P29" s="442" t="s">
        <v>209</v>
      </c>
      <c r="Q29" s="428"/>
      <c r="R29" s="429">
        <f t="shared" si="0"/>
        <v>149</v>
      </c>
      <c r="S29" s="428"/>
      <c r="T29" s="429">
        <f t="shared" si="1"/>
        <v>253</v>
      </c>
      <c r="U29" s="428"/>
      <c r="V29" s="185">
        <f t="shared" si="2"/>
        <v>131</v>
      </c>
    </row>
    <row r="30" spans="1:22" s="80" customFormat="1" x14ac:dyDescent="0.25">
      <c r="A30"/>
      <c r="B30"/>
      <c r="C30" s="80" t="s">
        <v>6</v>
      </c>
      <c r="D30" s="148">
        <v>1.1351</v>
      </c>
      <c r="E30" s="148">
        <v>1.51</v>
      </c>
      <c r="F30" s="354"/>
      <c r="G30" s="367">
        <v>5</v>
      </c>
      <c r="I30" s="565">
        <v>150</v>
      </c>
      <c r="J30" s="565">
        <v>260</v>
      </c>
      <c r="K30" s="565">
        <v>128</v>
      </c>
      <c r="L30" s="367"/>
      <c r="N30" s="407" t="str">
        <f>_xlfn.CONCAT(TEXT($D30,"#.000#"),""""," to ",TEXT($E30,"#.000#"),"""")</f>
        <v>1.1351" to 1.510"</v>
      </c>
      <c r="O30" s="20"/>
      <c r="P30" s="159" t="s">
        <v>198</v>
      </c>
      <c r="Q30" s="764">
        <v>1.625</v>
      </c>
      <c r="R30" s="405">
        <f t="shared" si="0"/>
        <v>203</v>
      </c>
      <c r="S30" s="764">
        <v>1.625</v>
      </c>
      <c r="T30" s="405">
        <f t="shared" si="1"/>
        <v>351</v>
      </c>
      <c r="U30" s="432">
        <v>0.8125</v>
      </c>
      <c r="V30" s="161">
        <f t="shared" si="2"/>
        <v>173</v>
      </c>
    </row>
    <row r="31" spans="1:22" s="44" customFormat="1" x14ac:dyDescent="0.25">
      <c r="A31"/>
      <c r="B31"/>
      <c r="C31" s="44" t="s">
        <v>585</v>
      </c>
      <c r="D31" s="149">
        <v>29.831</v>
      </c>
      <c r="E31" s="149">
        <v>38.35</v>
      </c>
      <c r="F31" s="356"/>
      <c r="G31" s="368"/>
      <c r="I31" s="566">
        <v>124</v>
      </c>
      <c r="J31" s="566">
        <v>220</v>
      </c>
      <c r="K31" s="566">
        <v>110</v>
      </c>
      <c r="L31" s="368"/>
      <c r="N31" s="407" t="str">
        <f>_xlfn.CONCAT(TEXT($D31,"0.00#"),"mm"," to ",TEXT($E31,"0.00#"),"mm")</f>
        <v>29.831mm to 38.35mm</v>
      </c>
      <c r="O31" s="433"/>
      <c r="P31" s="309" t="s">
        <v>197</v>
      </c>
      <c r="Q31" s="765">
        <v>41.3</v>
      </c>
      <c r="R31" s="405">
        <f t="shared" si="0"/>
        <v>168</v>
      </c>
      <c r="S31" s="765">
        <v>41.3</v>
      </c>
      <c r="T31" s="405">
        <f t="shared" si="1"/>
        <v>297</v>
      </c>
      <c r="U31" s="765">
        <v>20.6</v>
      </c>
      <c r="V31" s="161">
        <f t="shared" si="2"/>
        <v>149</v>
      </c>
    </row>
    <row r="32" spans="1:22" ht="15.75" thickBot="1" x14ac:dyDescent="0.3">
      <c r="G32" s="371"/>
      <c r="I32" s="566">
        <v>116</v>
      </c>
      <c r="J32" s="566">
        <v>209</v>
      </c>
      <c r="K32" s="566">
        <v>105</v>
      </c>
      <c r="L32" s="371"/>
      <c r="N32" s="204"/>
      <c r="O32" s="443"/>
      <c r="P32" s="444" t="s">
        <v>209</v>
      </c>
      <c r="Q32" s="187"/>
      <c r="R32" s="445">
        <f t="shared" si="0"/>
        <v>157</v>
      </c>
      <c r="S32" s="187"/>
      <c r="T32" s="445">
        <f t="shared" si="1"/>
        <v>283</v>
      </c>
      <c r="U32" s="187"/>
      <c r="V32" s="191">
        <f t="shared" si="2"/>
        <v>142</v>
      </c>
    </row>
    <row r="33" spans="7:16" ht="8.4499999999999993" customHeight="1" x14ac:dyDescent="0.25">
      <c r="G33" s="371"/>
      <c r="L33" s="371"/>
    </row>
    <row r="34" spans="7:16" x14ac:dyDescent="0.25">
      <c r="G34" s="371"/>
      <c r="L34" s="371"/>
      <c r="N34" t="s">
        <v>646</v>
      </c>
      <c r="O34" s="11"/>
      <c r="P34" s="11"/>
    </row>
    <row r="35" spans="7:16" x14ac:dyDescent="0.25">
      <c r="G35" s="371"/>
      <c r="L35" s="371"/>
      <c r="N35" s="11"/>
      <c r="O35" s="11"/>
    </row>
    <row r="36" spans="7:16" x14ac:dyDescent="0.25">
      <c r="N36" s="18" t="s">
        <v>1138</v>
      </c>
      <c r="O36" s="11"/>
    </row>
    <row r="37" spans="7:16" x14ac:dyDescent="0.25">
      <c r="N37" s="11"/>
      <c r="O37" s="11"/>
    </row>
  </sheetData>
  <sheetProtection algorithmName="SHA-512" hashValue="pz6EZGrs4gGVXEC0ZT465FeCz+xflnE/QLy73mV1LBN4Vgrui6VWRZVkHTzo3sGf0WYs/nF+MCFjrdvv0EunGw==" saltValue="G9GbB3+xK/rAcHUw5pgwlg==" spinCount="100000" sheet="1" objects="1" scenarios="1"/>
  <mergeCells count="2">
    <mergeCell ref="N16:O17"/>
    <mergeCell ref="P16:P17"/>
  </mergeCells>
  <conditionalFormatting sqref="N9:N11">
    <cfRule type="expression" dxfId="9" priority="1">
      <formula>#REF!="y"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4A605-2D6C-4363-96A7-47B1E3383A81}">
  <sheetPr codeName="Sheet23">
    <outlinePr summaryBelow="0"/>
  </sheetPr>
  <dimension ref="A1:AC58"/>
  <sheetViews>
    <sheetView showGridLines="0" zoomScale="90" zoomScaleNormal="90" workbookViewId="0">
      <selection activeCell="Y64" sqref="Y64"/>
    </sheetView>
  </sheetViews>
  <sheetFormatPr defaultRowHeight="15" outlineLevelRow="1" outlineLevelCol="1" x14ac:dyDescent="0.25"/>
  <cols>
    <col min="1" max="1" width="1.7109375" customWidth="1"/>
    <col min="2" max="2" width="10.140625" hidden="1" customWidth="1" outlineLevel="1"/>
    <col min="3" max="3" width="1.7109375" hidden="1" customWidth="1" outlineLevel="1"/>
    <col min="4" max="5" width="10.28515625" hidden="1" customWidth="1" outlineLevel="1"/>
    <col min="6" max="6" width="1.7109375" hidden="1" customWidth="1" outlineLevel="1"/>
    <col min="7" max="8" width="10.85546875" hidden="1" customWidth="1" outlineLevel="1"/>
    <col min="9" max="9" width="1.7109375" hidden="1" customWidth="1" outlineLevel="1"/>
    <col min="10" max="11" width="10.140625" hidden="1" customWidth="1" outlineLevel="1"/>
    <col min="12" max="12" width="11.28515625" hidden="1" customWidth="1" outlineLevel="1"/>
    <col min="13" max="13" width="1.7109375" hidden="1" customWidth="1" outlineLevel="1"/>
    <col min="14" max="15" width="9.85546875" hidden="1" customWidth="1" outlineLevel="1"/>
    <col min="16" max="18" width="10.28515625" hidden="1" customWidth="1" outlineLevel="1"/>
    <col min="19" max="19" width="1.7109375" hidden="1" customWidth="1" outlineLevel="1"/>
    <col min="20" max="22" width="10.140625" hidden="1" customWidth="1" outlineLevel="1"/>
    <col min="23" max="24" width="1.7109375" hidden="1" customWidth="1" outlineLevel="1"/>
    <col min="25" max="25" width="26.7109375" customWidth="1" collapsed="1"/>
    <col min="26" max="29" width="16" customWidth="1"/>
    <col min="30" max="30" width="15.140625" customWidth="1"/>
    <col min="31" max="32" width="12.140625" customWidth="1"/>
  </cols>
  <sheetData>
    <row r="1" spans="2:29" ht="5.0999999999999996" customHeight="1" x14ac:dyDescent="0.25"/>
    <row r="2" spans="2:29" ht="21" x14ac:dyDescent="0.35">
      <c r="Y2" s="1" t="s">
        <v>398</v>
      </c>
      <c r="AA2" s="41"/>
    </row>
    <row r="3" spans="2:29" collapsed="1" x14ac:dyDescent="0.25">
      <c r="Y3" s="18"/>
      <c r="AA3" s="54"/>
    </row>
    <row r="4" spans="2:29" hidden="1" outlineLevel="1" x14ac:dyDescent="0.25">
      <c r="B4" s="743" t="s">
        <v>893</v>
      </c>
      <c r="C4" s="743" t="s">
        <v>894</v>
      </c>
      <c r="Y4" s="18"/>
      <c r="AA4" s="54"/>
    </row>
    <row r="5" spans="2:29" hidden="1" outlineLevel="1" x14ac:dyDescent="0.25">
      <c r="B5" s="2">
        <v>260</v>
      </c>
      <c r="C5" s="2" t="s">
        <v>854</v>
      </c>
      <c r="D5" s="13"/>
      <c r="H5" s="55"/>
      <c r="Y5" s="18"/>
      <c r="AA5" s="54"/>
    </row>
    <row r="6" spans="2:29" hidden="1" outlineLevel="1" x14ac:dyDescent="0.25">
      <c r="B6" s="2"/>
      <c r="C6" s="2"/>
      <c r="D6" s="13"/>
      <c r="Y6" s="18"/>
      <c r="AA6" s="54"/>
    </row>
    <row r="7" spans="2:29" ht="15.75" thickBot="1" x14ac:dyDescent="0.3">
      <c r="B7" s="55" t="s">
        <v>1127</v>
      </c>
    </row>
    <row r="8" spans="2:29" ht="16.899999999999999" customHeight="1" x14ac:dyDescent="0.25">
      <c r="J8" s="599" t="s">
        <v>614</v>
      </c>
      <c r="K8" s="732"/>
      <c r="L8" s="732"/>
      <c r="N8" s="631" t="s">
        <v>615</v>
      </c>
      <c r="O8" s="717"/>
      <c r="P8" s="732"/>
      <c r="Q8" s="732"/>
      <c r="R8" s="732"/>
      <c r="Y8" s="767" t="s">
        <v>489</v>
      </c>
      <c r="Z8" s="767"/>
      <c r="AA8" s="767"/>
      <c r="AB8" s="767"/>
      <c r="AC8" s="768"/>
    </row>
    <row r="9" spans="2:29" x14ac:dyDescent="0.25">
      <c r="D9" s="22" t="s">
        <v>1</v>
      </c>
      <c r="E9" s="3"/>
      <c r="G9" s="22" t="s">
        <v>2</v>
      </c>
      <c r="H9" s="5"/>
      <c r="I9" s="5"/>
      <c r="J9" s="5" t="s">
        <v>712</v>
      </c>
      <c r="K9" s="329" t="s">
        <v>632</v>
      </c>
      <c r="L9" s="329" t="s">
        <v>633</v>
      </c>
      <c r="M9" s="5"/>
      <c r="N9" s="329" t="s">
        <v>632</v>
      </c>
      <c r="O9" s="329" t="s">
        <v>633</v>
      </c>
      <c r="P9" s="489" t="s">
        <v>636</v>
      </c>
      <c r="Q9" s="20"/>
      <c r="R9" s="718">
        <v>0.3</v>
      </c>
      <c r="T9" s="488">
        <v>0.4</v>
      </c>
      <c r="U9" s="489" t="s">
        <v>636</v>
      </c>
      <c r="V9" s="20"/>
      <c r="Y9" s="1082" t="s">
        <v>3</v>
      </c>
      <c r="Z9" s="642" t="s">
        <v>185</v>
      </c>
      <c r="AA9" s="643"/>
      <c r="AB9" s="642" t="s">
        <v>199</v>
      </c>
      <c r="AC9" s="644"/>
    </row>
    <row r="10" spans="2:29" x14ac:dyDescent="0.25">
      <c r="D10" s="21" t="s">
        <v>6</v>
      </c>
      <c r="E10" s="20"/>
      <c r="G10" s="21" t="s">
        <v>7</v>
      </c>
      <c r="H10" s="20"/>
      <c r="I10" s="5"/>
      <c r="J10" s="5"/>
      <c r="K10" s="459"/>
      <c r="L10" s="459"/>
      <c r="M10" s="5"/>
      <c r="Y10" s="1083"/>
      <c r="Z10" s="645" t="s">
        <v>399</v>
      </c>
      <c r="AA10" s="401" t="s">
        <v>573</v>
      </c>
      <c r="AB10" s="645" t="s">
        <v>399</v>
      </c>
      <c r="AC10" s="646" t="s">
        <v>573</v>
      </c>
    </row>
    <row r="11" spans="2:29" x14ac:dyDescent="0.25">
      <c r="B11" s="19">
        <v>1</v>
      </c>
      <c r="C11" s="19"/>
      <c r="D11" s="637">
        <v>5.0000000000000001E-3</v>
      </c>
      <c r="E11" s="637">
        <v>7.4999999999999997E-2</v>
      </c>
      <c r="F11" s="638"/>
      <c r="G11" s="639">
        <v>0.13</v>
      </c>
      <c r="H11" s="639">
        <v>1.91</v>
      </c>
      <c r="I11" s="6"/>
      <c r="J11" s="606">
        <v>0.08</v>
      </c>
      <c r="K11" s="673">
        <v>9</v>
      </c>
      <c r="L11" s="674">
        <f>MROUND((1-J11)*O11,1)</f>
        <v>10</v>
      </c>
      <c r="M11" s="6"/>
      <c r="N11" s="460">
        <v>9.5</v>
      </c>
      <c r="O11" s="460">
        <v>11</v>
      </c>
      <c r="P11" s="481">
        <f t="shared" ref="P11" si="0">IF(O11=0,0,O11-N11)</f>
        <v>1.5</v>
      </c>
      <c r="Q11" s="485">
        <f>P11/N11</f>
        <v>0.15789473684210525</v>
      </c>
      <c r="R11" s="665">
        <f>(1-$R$9)*O11</f>
        <v>7.6999999999999993</v>
      </c>
      <c r="S11" s="634"/>
      <c r="T11" s="665">
        <f>(1-$T$9)*$N11</f>
        <v>5.7</v>
      </c>
      <c r="U11" s="481">
        <f>R11-T11</f>
        <v>1.9999999999999991</v>
      </c>
      <c r="V11" s="485">
        <f>U11/T11</f>
        <v>0.35087719298245595</v>
      </c>
      <c r="Y11" s="157" t="str">
        <f>_xlfn.CONCAT(TEXT($D11,"#.000"),"""","  to  ",TEXT($E11,"#.000"),"""")</f>
        <v>.005"  to  .075"</v>
      </c>
      <c r="Z11" s="647" t="s">
        <v>187</v>
      </c>
      <c r="AA11" s="648">
        <f>L11</f>
        <v>10</v>
      </c>
      <c r="AB11" s="647" t="s">
        <v>200</v>
      </c>
      <c r="AC11" s="649">
        <f>O11</f>
        <v>11</v>
      </c>
    </row>
    <row r="12" spans="2:29" x14ac:dyDescent="0.25">
      <c r="B12" s="19"/>
      <c r="C12" s="19"/>
      <c r="D12" s="4"/>
      <c r="E12" s="5"/>
      <c r="G12" s="639"/>
      <c r="H12" s="639"/>
      <c r="I12" s="6"/>
      <c r="J12" s="6"/>
      <c r="K12" s="673"/>
      <c r="L12" s="674"/>
      <c r="M12" s="522"/>
      <c r="N12" s="460"/>
      <c r="O12" s="460" t="s">
        <v>754</v>
      </c>
      <c r="P12" s="492"/>
      <c r="Q12" s="662"/>
      <c r="R12" s="666"/>
      <c r="S12" s="634"/>
      <c r="T12" s="666"/>
      <c r="U12" s="615"/>
      <c r="V12" s="663"/>
      <c r="Y12" s="286" t="str">
        <f>_xlfn.CONCAT(TEXT($G11,"#.00"),"mm","  to  ",TEXT($H11,"0.00"),"mm")</f>
        <v>.13mm  to  1.91mm</v>
      </c>
      <c r="Z12" s="159"/>
      <c r="AA12" s="12"/>
      <c r="AB12" s="159"/>
      <c r="AC12" s="650"/>
    </row>
    <row r="13" spans="2:29" x14ac:dyDescent="0.25">
      <c r="B13" s="19">
        <v>2</v>
      </c>
      <c r="C13" s="19"/>
      <c r="D13" s="637">
        <v>7.5999999999999998E-2</v>
      </c>
      <c r="E13" s="637">
        <v>0.18</v>
      </c>
      <c r="G13" s="639">
        <v>1.92</v>
      </c>
      <c r="H13" s="639">
        <v>4.57</v>
      </c>
      <c r="I13" s="6"/>
      <c r="J13" s="606">
        <v>0.08</v>
      </c>
      <c r="K13" s="673">
        <v>9.5</v>
      </c>
      <c r="L13" s="674">
        <f>MROUND((1-J13)*O13,1)</f>
        <v>11</v>
      </c>
      <c r="M13" s="522"/>
      <c r="N13" s="460">
        <v>10.75</v>
      </c>
      <c r="O13" s="460">
        <v>12</v>
      </c>
      <c r="P13" s="481">
        <f t="shared" ref="P13" si="1">IF(O13=0,0,O13-N13)</f>
        <v>1.25</v>
      </c>
      <c r="Q13" s="485">
        <f t="shared" ref="Q13" si="2">P13/N13</f>
        <v>0.11627906976744186</v>
      </c>
      <c r="R13" s="665">
        <f>(1-$R$9)*O13</f>
        <v>8.3999999999999986</v>
      </c>
      <c r="S13" s="634"/>
      <c r="T13" s="665">
        <f>(1-$T$9)*$N13</f>
        <v>6.45</v>
      </c>
      <c r="U13" s="481">
        <f>R13-T13</f>
        <v>1.9499999999999984</v>
      </c>
      <c r="V13" s="485">
        <f>U13/T13</f>
        <v>0.3023255813953486</v>
      </c>
      <c r="Y13" s="166" t="str">
        <f>_xlfn.CONCAT(TEXT($D13,"#.000"),"""","  to  ",TEXT($E13,"#.000"),"""")</f>
        <v>.076"  to  .180"</v>
      </c>
      <c r="Z13" s="170" t="s">
        <v>189</v>
      </c>
      <c r="AA13" s="372">
        <f>L13</f>
        <v>11</v>
      </c>
      <c r="AB13" s="170" t="s">
        <v>201</v>
      </c>
      <c r="AC13" s="651">
        <f>O13</f>
        <v>12</v>
      </c>
    </row>
    <row r="14" spans="2:29" x14ac:dyDescent="0.25">
      <c r="B14" s="19"/>
      <c r="C14" s="19"/>
      <c r="D14" s="637"/>
      <c r="E14" s="637"/>
      <c r="G14" s="639"/>
      <c r="H14" s="639"/>
      <c r="I14" s="6"/>
      <c r="J14" s="606"/>
      <c r="K14" s="673"/>
      <c r="L14" s="674"/>
      <c r="M14" s="522"/>
      <c r="N14" s="460"/>
      <c r="O14" s="460"/>
      <c r="P14" s="492"/>
      <c r="Q14" s="662"/>
      <c r="R14" s="666"/>
      <c r="S14" s="634"/>
      <c r="T14" s="666"/>
      <c r="U14" s="615"/>
      <c r="V14" s="663"/>
      <c r="Y14" s="291" t="str">
        <f>_xlfn.CONCAT(TEXT($G13,"#.00"),"mm","  to  ",TEXT($H13,"0.00"),"mm")</f>
        <v>1.92mm  to  4.57mm</v>
      </c>
      <c r="Z14" s="183"/>
      <c r="AA14" s="373"/>
      <c r="AB14" s="183"/>
      <c r="AC14" s="652"/>
    </row>
    <row r="15" spans="2:29" x14ac:dyDescent="0.25">
      <c r="B15" s="19">
        <v>3</v>
      </c>
      <c r="C15" s="19"/>
      <c r="D15" s="637">
        <v>0.18099999999999999</v>
      </c>
      <c r="E15" s="637">
        <v>0.28100000000000003</v>
      </c>
      <c r="G15" s="639">
        <v>4.58</v>
      </c>
      <c r="H15" s="639">
        <v>7.14</v>
      </c>
      <c r="I15" s="6"/>
      <c r="J15" s="606">
        <v>0.06</v>
      </c>
      <c r="K15" s="673">
        <v>10.25</v>
      </c>
      <c r="L15" s="674">
        <f>MROUND((1-J15)*O15,1)</f>
        <v>12</v>
      </c>
      <c r="M15" s="522"/>
      <c r="N15" s="460">
        <v>11.5</v>
      </c>
      <c r="O15" s="460">
        <v>13</v>
      </c>
      <c r="P15" s="481">
        <f t="shared" ref="P15" si="3">IF(O15=0,0,O15-N15)</f>
        <v>1.5</v>
      </c>
      <c r="Q15" s="485">
        <f t="shared" ref="Q15" si="4">P15/N15</f>
        <v>0.13043478260869565</v>
      </c>
      <c r="R15" s="665">
        <f>(1-$R$9)*O15</f>
        <v>9.1</v>
      </c>
      <c r="S15" s="634"/>
      <c r="T15" s="665">
        <f>(1-$T$9)*$N15</f>
        <v>6.8999999999999995</v>
      </c>
      <c r="U15" s="481">
        <f>R15-T15</f>
        <v>2.2000000000000002</v>
      </c>
      <c r="V15" s="485">
        <f>U15/T15</f>
        <v>0.31884057971014496</v>
      </c>
      <c r="Y15" s="157" t="str">
        <f>_xlfn.CONCAT(TEXT($D15,"#.000"),"""","  to  ",TEXT($E15,"#.000"),"""")</f>
        <v>.181"  to  .281"</v>
      </c>
      <c r="Z15" s="159" t="s">
        <v>190</v>
      </c>
      <c r="AA15" s="374">
        <f>L15</f>
        <v>12</v>
      </c>
      <c r="AB15" s="159" t="s">
        <v>202</v>
      </c>
      <c r="AC15" s="649">
        <f>O15</f>
        <v>13</v>
      </c>
    </row>
    <row r="16" spans="2:29" x14ac:dyDescent="0.25">
      <c r="B16" s="19"/>
      <c r="C16" s="19"/>
      <c r="D16" s="637"/>
      <c r="E16" s="637"/>
      <c r="G16" s="639"/>
      <c r="H16" s="639"/>
      <c r="I16" s="6"/>
      <c r="J16" s="606"/>
      <c r="K16" s="673"/>
      <c r="L16" s="674"/>
      <c r="M16" s="522"/>
      <c r="N16" s="460"/>
      <c r="O16" s="460"/>
      <c r="P16" s="492"/>
      <c r="Q16" s="662"/>
      <c r="R16" s="666"/>
      <c r="S16" s="634"/>
      <c r="T16" s="666"/>
      <c r="U16" s="615"/>
      <c r="V16" s="663"/>
      <c r="Y16" s="286" t="str">
        <f>_xlfn.CONCAT(TEXT($G15,"#.00"),"mm","  to  ",TEXT($H15,"0.00"),"mm")</f>
        <v>4.58mm  to  7.14mm</v>
      </c>
      <c r="Z16" s="159"/>
      <c r="AA16" s="374"/>
      <c r="AB16" s="159"/>
      <c r="AC16" s="649"/>
    </row>
    <row r="17" spans="2:29" x14ac:dyDescent="0.25">
      <c r="B17" s="19">
        <v>4</v>
      </c>
      <c r="C17" s="19"/>
      <c r="D17" s="637">
        <v>0.28199999999999997</v>
      </c>
      <c r="E17" s="637">
        <v>0.40600000000000003</v>
      </c>
      <c r="G17" s="639">
        <v>7.15</v>
      </c>
      <c r="H17" s="639">
        <v>10.31</v>
      </c>
      <c r="I17" s="6"/>
      <c r="J17" s="606">
        <v>0.05</v>
      </c>
      <c r="K17" s="673">
        <v>11.5</v>
      </c>
      <c r="L17" s="674">
        <f>MROUND((1-J17)*O17,1)</f>
        <v>14</v>
      </c>
      <c r="M17" s="522"/>
      <c r="N17" s="460">
        <v>13.25</v>
      </c>
      <c r="O17" s="460">
        <v>15</v>
      </c>
      <c r="P17" s="481">
        <f t="shared" ref="P17" si="5">IF(O17=0,0,O17-N17)</f>
        <v>1.75</v>
      </c>
      <c r="Q17" s="485">
        <f t="shared" ref="Q17" si="6">P17/N17</f>
        <v>0.13207547169811321</v>
      </c>
      <c r="R17" s="665">
        <f>(1-$R$9)*O17</f>
        <v>10.5</v>
      </c>
      <c r="S17" s="634"/>
      <c r="T17" s="665">
        <f>(1-$T$9)*$N17</f>
        <v>7.9499999999999993</v>
      </c>
      <c r="U17" s="481">
        <f>R17-T17</f>
        <v>2.5500000000000007</v>
      </c>
      <c r="V17" s="485">
        <f>U17/T17</f>
        <v>0.32075471698113217</v>
      </c>
      <c r="Y17" s="166" t="str">
        <f>_xlfn.CONCAT(TEXT($D17,"#.000"),"""","  to  ",TEXT($E17,"#.000"),"""")</f>
        <v>.282"  to  .406"</v>
      </c>
      <c r="Z17" s="170" t="s">
        <v>191</v>
      </c>
      <c r="AA17" s="372">
        <f>L17</f>
        <v>14</v>
      </c>
      <c r="AB17" s="170" t="s">
        <v>203</v>
      </c>
      <c r="AC17" s="651">
        <f>O17</f>
        <v>15</v>
      </c>
    </row>
    <row r="18" spans="2:29" x14ac:dyDescent="0.25">
      <c r="B18" s="19"/>
      <c r="C18" s="19"/>
      <c r="D18" s="637"/>
      <c r="E18" s="637"/>
      <c r="G18" s="639"/>
      <c r="H18" s="639"/>
      <c r="I18" s="6"/>
      <c r="J18" s="606"/>
      <c r="K18" s="673"/>
      <c r="L18" s="674"/>
      <c r="M18" s="522"/>
      <c r="N18" s="460"/>
      <c r="O18" s="460"/>
      <c r="P18" s="492"/>
      <c r="Q18" s="662"/>
      <c r="R18" s="666"/>
      <c r="S18" s="634"/>
      <c r="T18" s="666"/>
      <c r="U18" s="615"/>
      <c r="V18" s="663"/>
      <c r="Y18" s="291" t="str">
        <f>_xlfn.CONCAT(TEXT($G17,"#.00"),"mm","  to  ",TEXT($H17,"0.00"),"mm")</f>
        <v>7.15mm  to  10.31mm</v>
      </c>
      <c r="Z18" s="183"/>
      <c r="AA18" s="373"/>
      <c r="AB18" s="183"/>
      <c r="AC18" s="652"/>
    </row>
    <row r="19" spans="2:29" x14ac:dyDescent="0.25">
      <c r="B19" s="19">
        <v>5</v>
      </c>
      <c r="C19" s="19"/>
      <c r="D19" s="637">
        <v>0.40699999999999997</v>
      </c>
      <c r="E19" s="637">
        <v>0.51</v>
      </c>
      <c r="G19" s="639">
        <v>10.32</v>
      </c>
      <c r="H19" s="639">
        <v>12.95</v>
      </c>
      <c r="I19" s="6"/>
      <c r="J19" s="606">
        <v>0.05</v>
      </c>
      <c r="K19" s="673">
        <v>14.5</v>
      </c>
      <c r="L19" s="674">
        <f>MROUND((1-J19)*O19,1)</f>
        <v>19</v>
      </c>
      <c r="M19" s="522"/>
      <c r="N19" s="460">
        <v>18.5</v>
      </c>
      <c r="O19" s="460">
        <v>20</v>
      </c>
      <c r="P19" s="481">
        <f t="shared" ref="P19" si="7">IF(O19=0,0,O19-N19)</f>
        <v>1.5</v>
      </c>
      <c r="Q19" s="485">
        <f t="shared" ref="Q19" si="8">P19/N19</f>
        <v>8.1081081081081086E-2</v>
      </c>
      <c r="R19" s="665">
        <f>(1-$R$9)*O19</f>
        <v>14</v>
      </c>
      <c r="S19" s="634"/>
      <c r="T19" s="665">
        <f>(1-$T$9)*$N19</f>
        <v>11.1</v>
      </c>
      <c r="U19" s="481">
        <f>R19-T19</f>
        <v>2.9000000000000004</v>
      </c>
      <c r="V19" s="485">
        <f>U19/T19</f>
        <v>0.26126126126126131</v>
      </c>
      <c r="Y19" s="157" t="str">
        <f>_xlfn.CONCAT(TEXT($D19,"#.000"),"""","  to  ",TEXT($E19,"#.000"),"""")</f>
        <v>.407"  to  .510"</v>
      </c>
      <c r="Z19" s="159" t="s">
        <v>192</v>
      </c>
      <c r="AA19" s="374">
        <f>L19</f>
        <v>19</v>
      </c>
      <c r="AB19" s="159" t="s">
        <v>204</v>
      </c>
      <c r="AC19" s="649">
        <f>O19</f>
        <v>20</v>
      </c>
    </row>
    <row r="20" spans="2:29" x14ac:dyDescent="0.25">
      <c r="B20" s="19"/>
      <c r="C20" s="19"/>
      <c r="D20" s="637"/>
      <c r="E20" s="637"/>
      <c r="G20" s="639"/>
      <c r="H20" s="639"/>
      <c r="I20" s="6"/>
      <c r="J20" s="606"/>
      <c r="K20" s="673"/>
      <c r="L20" s="674"/>
      <c r="M20" s="522"/>
      <c r="N20" s="460"/>
      <c r="O20" s="460"/>
      <c r="P20" s="492"/>
      <c r="Q20" s="662"/>
      <c r="R20" s="666"/>
      <c r="S20" s="634"/>
      <c r="T20" s="666"/>
      <c r="U20" s="615"/>
      <c r="V20" s="663"/>
      <c r="Y20" s="286" t="str">
        <f>_xlfn.CONCAT(TEXT($G19,"#.00"),"mm","  to  ",TEXT($H19,"0.00"),"mm")</f>
        <v>10.32mm  to  12.95mm</v>
      </c>
      <c r="Z20" s="159"/>
      <c r="AA20" s="374"/>
      <c r="AB20" s="159"/>
      <c r="AC20" s="649"/>
    </row>
    <row r="21" spans="2:29" x14ac:dyDescent="0.25">
      <c r="B21" s="19">
        <v>6</v>
      </c>
      <c r="C21" s="19"/>
      <c r="D21" s="637">
        <v>0.51100000000000001</v>
      </c>
      <c r="E21" s="637">
        <v>0.63500000000000001</v>
      </c>
      <c r="G21" s="639">
        <v>12.96</v>
      </c>
      <c r="H21" s="639">
        <v>16.13</v>
      </c>
      <c r="I21" s="6"/>
      <c r="J21" s="606">
        <v>0.04</v>
      </c>
      <c r="K21" s="673">
        <v>20.25</v>
      </c>
      <c r="L21" s="674">
        <f>MROUND((1-J21)*O21,1)</f>
        <v>23</v>
      </c>
      <c r="M21" s="522"/>
      <c r="N21" s="460">
        <v>23.5</v>
      </c>
      <c r="O21" s="460">
        <v>24</v>
      </c>
      <c r="P21" s="481">
        <f t="shared" ref="P21" si="9">IF(O21=0,0,O21-N21)</f>
        <v>0.5</v>
      </c>
      <c r="Q21" s="485">
        <f t="shared" ref="Q21" si="10">P21/N21</f>
        <v>2.1276595744680851E-2</v>
      </c>
      <c r="R21" s="665">
        <f>(1-$R$9)*O21</f>
        <v>16.799999999999997</v>
      </c>
      <c r="S21" s="634"/>
      <c r="T21" s="665">
        <f>(1-$T$9)*$N21</f>
        <v>14.1</v>
      </c>
      <c r="U21" s="481">
        <f>R21-T21</f>
        <v>2.6999999999999975</v>
      </c>
      <c r="V21" s="485">
        <f>U21/T21</f>
        <v>0.19148936170212749</v>
      </c>
      <c r="Y21" s="166" t="str">
        <f>_xlfn.CONCAT(TEXT($D21,"#.000"),"""","  to  ",TEXT($E21,"#.000"),"""")</f>
        <v>.511"  to  .635"</v>
      </c>
      <c r="Z21" s="170" t="s">
        <v>193</v>
      </c>
      <c r="AA21" s="372">
        <f>L21</f>
        <v>23</v>
      </c>
      <c r="AB21" s="653" t="s">
        <v>205</v>
      </c>
      <c r="AC21" s="651">
        <f>O21</f>
        <v>24</v>
      </c>
    </row>
    <row r="22" spans="2:29" x14ac:dyDescent="0.25">
      <c r="B22" s="19"/>
      <c r="C22" s="19"/>
      <c r="D22" s="637"/>
      <c r="E22" s="637"/>
      <c r="G22" s="639"/>
      <c r="H22" s="639"/>
      <c r="I22" s="6"/>
      <c r="J22" s="606"/>
      <c r="K22" s="673"/>
      <c r="L22" s="674"/>
      <c r="M22" s="522"/>
      <c r="N22" s="460"/>
      <c r="O22" s="460"/>
      <c r="P22" s="492"/>
      <c r="Q22" s="662"/>
      <c r="R22" s="666"/>
      <c r="S22" s="634"/>
      <c r="T22" s="666"/>
      <c r="U22" s="615"/>
      <c r="V22" s="663"/>
      <c r="Y22" s="291" t="str">
        <f>_xlfn.CONCAT(TEXT($G21,"#.00"),"mm","  to  ",TEXT($H21,"0.00"),"mm")</f>
        <v>12.96mm  to  16.13mm</v>
      </c>
      <c r="Z22" s="183"/>
      <c r="AA22" s="373"/>
      <c r="AB22" s="654"/>
      <c r="AC22" s="652"/>
    </row>
    <row r="23" spans="2:29" x14ac:dyDescent="0.25">
      <c r="B23" s="19">
        <v>7</v>
      </c>
      <c r="C23" s="19"/>
      <c r="D23" s="637">
        <v>0.63600000000000001</v>
      </c>
      <c r="E23" s="637">
        <v>0.76</v>
      </c>
      <c r="G23" s="639">
        <v>16.14</v>
      </c>
      <c r="H23" s="639">
        <v>19.3</v>
      </c>
      <c r="I23" s="6"/>
      <c r="J23" s="606">
        <v>0.04</v>
      </c>
      <c r="K23" s="673">
        <v>22.75</v>
      </c>
      <c r="L23" s="674">
        <f>MROUND((1-J23)*O23,1)</f>
        <v>27</v>
      </c>
      <c r="M23" s="522"/>
      <c r="N23" s="460">
        <v>26.5</v>
      </c>
      <c r="O23" s="460">
        <v>28</v>
      </c>
      <c r="P23" s="481">
        <f t="shared" ref="P23" si="11">IF(O23=0,0,O23-N23)</f>
        <v>1.5</v>
      </c>
      <c r="Q23" s="485">
        <f t="shared" ref="Q23" si="12">P23/N23</f>
        <v>5.6603773584905662E-2</v>
      </c>
      <c r="R23" s="665">
        <f>(1-$R$9)*O23</f>
        <v>19.599999999999998</v>
      </c>
      <c r="S23" s="634"/>
      <c r="T23" s="665">
        <f>(1-$T$9)*$N23</f>
        <v>15.899999999999999</v>
      </c>
      <c r="U23" s="481">
        <f>R23-T23</f>
        <v>3.6999999999999993</v>
      </c>
      <c r="V23" s="485">
        <f>U23/T23</f>
        <v>0.23270440251572325</v>
      </c>
      <c r="Y23" s="157" t="str">
        <f>_xlfn.CONCAT(TEXT($D23,"#.000"),"""","  to  ",TEXT($E23,"#.000"),"""")</f>
        <v>.636"  to  .760"</v>
      </c>
      <c r="Z23" s="159" t="s">
        <v>194</v>
      </c>
      <c r="AA23" s="374">
        <f>L23</f>
        <v>27</v>
      </c>
      <c r="AB23" s="159" t="s">
        <v>206</v>
      </c>
      <c r="AC23" s="649">
        <f>O23</f>
        <v>28</v>
      </c>
    </row>
    <row r="24" spans="2:29" x14ac:dyDescent="0.25">
      <c r="B24" s="19"/>
      <c r="C24" s="19"/>
      <c r="D24" s="637"/>
      <c r="E24" s="637"/>
      <c r="G24" s="639"/>
      <c r="H24" s="639"/>
      <c r="I24" s="6"/>
      <c r="J24" s="606"/>
      <c r="K24" s="673"/>
      <c r="L24" s="674"/>
      <c r="M24" s="522"/>
      <c r="N24" s="460"/>
      <c r="O24" s="460"/>
      <c r="P24" s="492"/>
      <c r="Q24" s="662"/>
      <c r="R24" s="666"/>
      <c r="S24" s="634"/>
      <c r="T24" s="666"/>
      <c r="U24" s="615"/>
      <c r="V24" s="663"/>
      <c r="Y24" s="286" t="str">
        <f>_xlfn.CONCAT(TEXT($G23,"#.00"),"mm","  to  ",TEXT($H23,"0.00"),"mm")</f>
        <v>16.14mm  to  19.30mm</v>
      </c>
      <c r="Z24" s="159"/>
      <c r="AA24" s="374"/>
      <c r="AB24" s="159"/>
      <c r="AC24" s="649"/>
    </row>
    <row r="25" spans="2:29" x14ac:dyDescent="0.25">
      <c r="B25" s="19">
        <v>8</v>
      </c>
      <c r="C25" s="19"/>
      <c r="D25" s="637">
        <v>0.76100000000000001</v>
      </c>
      <c r="E25" s="637">
        <v>1.0149999999999999</v>
      </c>
      <c r="G25" s="639">
        <v>19.309999999999999</v>
      </c>
      <c r="H25" s="639">
        <v>25.65</v>
      </c>
      <c r="I25" s="6"/>
      <c r="J25" s="606">
        <v>0.04</v>
      </c>
      <c r="K25" s="673">
        <v>34.25</v>
      </c>
      <c r="L25" s="674">
        <f>MROUND((1-J25)*O25,1)</f>
        <v>33</v>
      </c>
      <c r="M25" s="522"/>
      <c r="N25" s="460">
        <v>40.25</v>
      </c>
      <c r="O25" s="460">
        <v>34</v>
      </c>
      <c r="P25" s="481">
        <f t="shared" ref="P25" si="13">IF(O25=0,0,O25-N25)</f>
        <v>-6.25</v>
      </c>
      <c r="Q25" s="485">
        <f t="shared" ref="Q25" si="14">P25/N25</f>
        <v>-0.15527950310559005</v>
      </c>
      <c r="R25" s="665">
        <f>(1-$R$9)*O25</f>
        <v>23.799999999999997</v>
      </c>
      <c r="S25" s="634"/>
      <c r="T25" s="665">
        <f>(1-$T$9)*$N25</f>
        <v>24.15</v>
      </c>
      <c r="U25" s="481">
        <f>R25-T25</f>
        <v>-0.35000000000000142</v>
      </c>
      <c r="V25" s="485">
        <f>U25/T25</f>
        <v>-1.4492753623188465E-2</v>
      </c>
      <c r="Y25" s="166" t="str">
        <f>_xlfn.CONCAT(TEXT($D25,"#.000"),"""","  to  ",TEXT($E25,"#.000"),"""")</f>
        <v>.761"  to  1.015"</v>
      </c>
      <c r="Z25" s="170" t="s">
        <v>195</v>
      </c>
      <c r="AA25" s="372">
        <f>L25</f>
        <v>33</v>
      </c>
      <c r="AB25" s="170" t="s">
        <v>207</v>
      </c>
      <c r="AC25" s="651">
        <f>O25</f>
        <v>34</v>
      </c>
    </row>
    <row r="26" spans="2:29" ht="15.75" thickBot="1" x14ac:dyDescent="0.3">
      <c r="D26" s="637"/>
      <c r="E26" s="637"/>
      <c r="G26" s="39"/>
      <c r="H26" s="39"/>
      <c r="J26" s="606"/>
      <c r="K26" s="36"/>
      <c r="L26" s="675"/>
      <c r="M26" s="35"/>
      <c r="N26" s="460"/>
      <c r="Y26" s="375" t="str">
        <f>_xlfn.CONCAT(TEXT($G25,"#.00"),"mm","  to  ",TEXT($H25,"0.00"),"mm")</f>
        <v>19.31mm  to  25.65mm</v>
      </c>
      <c r="Z26" s="655"/>
      <c r="AA26" s="656"/>
      <c r="AB26" s="655"/>
      <c r="AC26" s="657"/>
    </row>
    <row r="27" spans="2:29" ht="9.9499999999999993" customHeight="1" x14ac:dyDescent="0.25">
      <c r="D27" s="5"/>
      <c r="E27" s="5"/>
      <c r="G27" s="39"/>
      <c r="H27" s="39"/>
      <c r="J27" s="606"/>
      <c r="L27" s="35"/>
      <c r="M27" s="35"/>
      <c r="N27" s="460"/>
      <c r="O27" s="460"/>
      <c r="P27" s="460"/>
      <c r="Q27" s="460"/>
      <c r="R27" s="667"/>
      <c r="S27" s="668"/>
      <c r="T27" s="668"/>
      <c r="U27" s="44"/>
      <c r="V27" s="44"/>
      <c r="Z27" s="12"/>
    </row>
    <row r="28" spans="2:29" x14ac:dyDescent="0.25">
      <c r="D28" s="5"/>
      <c r="E28" s="5"/>
      <c r="G28" s="39"/>
      <c r="H28" s="39"/>
      <c r="J28" s="606"/>
      <c r="L28" s="35"/>
      <c r="M28" s="35"/>
      <c r="N28" s="511" t="s">
        <v>648</v>
      </c>
      <c r="O28" s="460"/>
      <c r="P28" s="460"/>
      <c r="Q28" s="460"/>
      <c r="R28" s="667"/>
      <c r="S28" s="668"/>
      <c r="T28" s="668"/>
      <c r="U28" s="44"/>
      <c r="V28" s="44"/>
      <c r="Y28" s="719" t="s">
        <v>773</v>
      </c>
      <c r="Z28" s="12"/>
    </row>
    <row r="29" spans="2:29" x14ac:dyDescent="0.25">
      <c r="E29" s="5"/>
      <c r="G29" s="2" t="s">
        <v>397</v>
      </c>
      <c r="H29" s="39"/>
      <c r="J29" s="606"/>
      <c r="L29" s="35"/>
      <c r="M29" s="35"/>
      <c r="N29" s="13" t="s">
        <v>493</v>
      </c>
      <c r="Y29" s="563" t="str">
        <f>_xlfn.CONCAT($N$28,"  ",N29)</f>
        <v>•  Single-end handles come with a green (Go) cap, unless otherwise specified</v>
      </c>
    </row>
    <row r="30" spans="2:29" x14ac:dyDescent="0.25">
      <c r="E30" s="5"/>
      <c r="G30" s="13" t="s">
        <v>624</v>
      </c>
      <c r="H30" s="39"/>
      <c r="J30" s="606"/>
      <c r="N30" s="13" t="s">
        <v>771</v>
      </c>
      <c r="Y30" s="563" t="str">
        <f t="shared" ref="Y30:Y31" si="15">_xlfn.CONCAT($N$28,"  ",N30)</f>
        <v>•  Double-end handles come with a green (Go) and red (NoGo) end cap</v>
      </c>
    </row>
    <row r="31" spans="2:29" x14ac:dyDescent="0.25">
      <c r="D31" s="5"/>
      <c r="E31" s="5"/>
      <c r="G31" s="39"/>
      <c r="H31" s="39"/>
      <c r="J31" s="606"/>
      <c r="N31" s="13" t="s">
        <v>490</v>
      </c>
      <c r="Y31" s="563" t="str">
        <f t="shared" si="15"/>
        <v>•  Bushings sold separately</v>
      </c>
    </row>
    <row r="32" spans="2:29" x14ac:dyDescent="0.25">
      <c r="D32" s="5"/>
      <c r="E32" s="5"/>
      <c r="G32" s="39"/>
      <c r="H32" s="39"/>
      <c r="J32" s="606"/>
      <c r="N32" s="13"/>
      <c r="Y32" s="563"/>
    </row>
    <row r="33" spans="1:27" ht="15.75" thickBot="1" x14ac:dyDescent="0.3">
      <c r="D33" s="5"/>
      <c r="E33" s="5"/>
      <c r="G33" s="39"/>
      <c r="H33" s="39"/>
      <c r="J33" s="606"/>
      <c r="N33" s="13"/>
      <c r="Y33" s="563"/>
    </row>
    <row r="34" spans="1:27" ht="16.899999999999999" customHeight="1" x14ac:dyDescent="0.25">
      <c r="B34" s="19"/>
      <c r="D34" s="5"/>
      <c r="E34" s="5"/>
      <c r="G34" s="39"/>
      <c r="H34" s="39"/>
      <c r="N34" s="329" t="s">
        <v>632</v>
      </c>
      <c r="O34" s="329" t="s">
        <v>633</v>
      </c>
      <c r="P34" s="489" t="s">
        <v>636</v>
      </c>
      <c r="Q34" s="20"/>
      <c r="R34" s="664">
        <v>0.3</v>
      </c>
      <c r="T34" s="488">
        <v>0.4</v>
      </c>
      <c r="U34" s="489" t="s">
        <v>636</v>
      </c>
      <c r="V34" s="20"/>
      <c r="Y34" s="767" t="s">
        <v>613</v>
      </c>
      <c r="Z34" s="767"/>
      <c r="AA34" s="768"/>
    </row>
    <row r="35" spans="1:27" x14ac:dyDescent="0.25">
      <c r="B35" s="19"/>
      <c r="D35" s="5"/>
      <c r="E35" s="5"/>
      <c r="G35" s="39"/>
      <c r="H35" s="39"/>
      <c r="L35" s="3"/>
      <c r="Y35" s="300" t="s">
        <v>3</v>
      </c>
      <c r="Z35" s="282" t="s">
        <v>399</v>
      </c>
      <c r="AA35" s="403" t="s">
        <v>573</v>
      </c>
    </row>
    <row r="36" spans="1:27" ht="15" customHeight="1" x14ac:dyDescent="0.25">
      <c r="B36" s="19">
        <v>1</v>
      </c>
      <c r="D36" s="637">
        <v>1.0999999999999999E-2</v>
      </c>
      <c r="E36" s="637">
        <v>6.0499999999999998E-2</v>
      </c>
      <c r="F36" s="638"/>
      <c r="G36" s="639">
        <v>0.28000000000000003</v>
      </c>
      <c r="H36" s="639">
        <v>1.51</v>
      </c>
      <c r="L36" s="3" t="s">
        <v>401</v>
      </c>
      <c r="N36" s="460">
        <v>28.25</v>
      </c>
      <c r="O36" s="460">
        <v>30</v>
      </c>
      <c r="P36" s="481">
        <f t="shared" ref="P36" si="16">IF(O36=0,0,O36-N36)</f>
        <v>1.75</v>
      </c>
      <c r="Q36" s="485">
        <f>P36/N36</f>
        <v>6.1946902654867256E-2</v>
      </c>
      <c r="R36" s="665">
        <f>(1-$R$34)*O36</f>
        <v>21</v>
      </c>
      <c r="S36" s="634"/>
      <c r="T36" s="665">
        <f>(1-$T$34)*$N36</f>
        <v>16.95</v>
      </c>
      <c r="U36" s="481">
        <f>R36-T36</f>
        <v>4.0500000000000007</v>
      </c>
      <c r="V36" s="485">
        <f>U36/T36</f>
        <v>0.23893805309734517</v>
      </c>
      <c r="Y36" s="157" t="str">
        <f t="shared" ref="Y36:Y51" si="17">_xlfn.CONCAT(TEXT($D36,"#.000"),"""","  to  ",TEXT($E36,"#.000"),"""")</f>
        <v>.011"  to  .061"</v>
      </c>
      <c r="Z36" s="159" t="s">
        <v>401</v>
      </c>
      <c r="AA36" s="379">
        <f>O36</f>
        <v>30</v>
      </c>
    </row>
    <row r="37" spans="1:27" ht="15" customHeight="1" x14ac:dyDescent="0.25">
      <c r="B37" s="19"/>
      <c r="D37" s="4"/>
      <c r="E37" s="5"/>
      <c r="G37" s="639"/>
      <c r="H37" s="639"/>
      <c r="L37" s="3"/>
      <c r="N37" s="460"/>
      <c r="O37" s="460" t="s">
        <v>754</v>
      </c>
      <c r="P37" s="492"/>
      <c r="Q37" s="662"/>
      <c r="R37" s="666"/>
      <c r="S37" s="634"/>
      <c r="T37" s="666"/>
      <c r="U37" s="615"/>
      <c r="V37" s="663"/>
      <c r="Y37" s="286" t="str">
        <f t="shared" ref="Y37:Y49" si="18">_xlfn.CONCAT(TEXT($G36,"#.00"),"mm","  to  ",TEXT($H36,"0.00"),"mm")</f>
        <v>.28mm  to  1.51mm</v>
      </c>
      <c r="Z37" s="159"/>
      <c r="AA37" s="376"/>
    </row>
    <row r="38" spans="1:27" ht="15" customHeight="1" x14ac:dyDescent="0.25">
      <c r="B38" s="19">
        <v>2</v>
      </c>
      <c r="D38" s="637">
        <v>6.0999999999999999E-2</v>
      </c>
      <c r="E38" s="637">
        <v>0.2505</v>
      </c>
      <c r="G38" s="639">
        <v>1.52</v>
      </c>
      <c r="H38" s="639">
        <v>7.71</v>
      </c>
      <c r="L38" s="3" t="s">
        <v>402</v>
      </c>
      <c r="N38" s="460">
        <v>30.25</v>
      </c>
      <c r="O38" s="460">
        <v>32</v>
      </c>
      <c r="P38" s="481">
        <f t="shared" ref="P38" si="19">IF(O38=0,0,O38-N38)</f>
        <v>1.75</v>
      </c>
      <c r="Q38" s="485">
        <f t="shared" ref="Q38" si="20">P38/N38</f>
        <v>5.7851239669421489E-2</v>
      </c>
      <c r="R38" s="665">
        <f>(1-$R$34)*O38</f>
        <v>22.4</v>
      </c>
      <c r="S38" s="634"/>
      <c r="T38" s="665">
        <f>(1-$T$34)*$N38</f>
        <v>18.149999999999999</v>
      </c>
      <c r="U38" s="481">
        <f>R38-T38</f>
        <v>4.25</v>
      </c>
      <c r="V38" s="485">
        <f>U38/T38</f>
        <v>0.23415977961432508</v>
      </c>
      <c r="Y38" s="166" t="str">
        <f t="shared" si="17"/>
        <v>.061"  to  .251"</v>
      </c>
      <c r="Z38" s="170" t="s">
        <v>402</v>
      </c>
      <c r="AA38" s="380">
        <f>O38</f>
        <v>32</v>
      </c>
    </row>
    <row r="39" spans="1:27" ht="15" customHeight="1" x14ac:dyDescent="0.25">
      <c r="B39" s="19"/>
      <c r="D39" s="637"/>
      <c r="E39" s="637"/>
      <c r="G39" s="639"/>
      <c r="H39" s="639"/>
      <c r="L39" s="3"/>
      <c r="N39" s="460"/>
      <c r="O39" s="460"/>
      <c r="P39" s="492"/>
      <c r="Q39" s="662"/>
      <c r="R39" s="666"/>
      <c r="S39" s="634"/>
      <c r="T39" s="666"/>
      <c r="U39" s="615"/>
      <c r="V39" s="663"/>
      <c r="Y39" s="291" t="str">
        <f t="shared" si="18"/>
        <v>1.52mm  to  7.71mm</v>
      </c>
      <c r="Z39" s="183"/>
      <c r="AA39" s="381"/>
    </row>
    <row r="40" spans="1:27" ht="15" customHeight="1" x14ac:dyDescent="0.25">
      <c r="B40" s="19">
        <v>3</v>
      </c>
      <c r="D40" s="637">
        <v>0.251</v>
      </c>
      <c r="E40" s="637">
        <v>0.50049999999999994</v>
      </c>
      <c r="G40" s="639">
        <v>7.72</v>
      </c>
      <c r="H40" s="639">
        <v>12.71</v>
      </c>
      <c r="L40" s="3" t="s">
        <v>403</v>
      </c>
      <c r="N40" s="460">
        <v>33.5</v>
      </c>
      <c r="O40" s="460">
        <v>35</v>
      </c>
      <c r="P40" s="481">
        <f t="shared" ref="P40" si="21">IF(O40=0,0,O40-N40)</f>
        <v>1.5</v>
      </c>
      <c r="Q40" s="485">
        <f t="shared" ref="Q40" si="22">P40/N40</f>
        <v>4.4776119402985072E-2</v>
      </c>
      <c r="R40" s="665">
        <f>(1-$R$34)*O40</f>
        <v>24.5</v>
      </c>
      <c r="S40" s="634"/>
      <c r="T40" s="665">
        <f>(1-$T$34)*$N40</f>
        <v>20.099999999999998</v>
      </c>
      <c r="U40" s="481">
        <f>R40-T40</f>
        <v>4.4000000000000021</v>
      </c>
      <c r="V40" s="485">
        <f>U40/T40</f>
        <v>0.21890547263681606</v>
      </c>
      <c r="Y40" s="157" t="str">
        <f t="shared" si="17"/>
        <v>.251"  to  .501"</v>
      </c>
      <c r="Z40" s="159" t="s">
        <v>403</v>
      </c>
      <c r="AA40" s="379">
        <f>O40</f>
        <v>35</v>
      </c>
    </row>
    <row r="41" spans="1:27" ht="15" customHeight="1" x14ac:dyDescent="0.25">
      <c r="B41" s="19"/>
      <c r="D41" s="637"/>
      <c r="E41" s="637"/>
      <c r="G41" s="639"/>
      <c r="H41" s="639"/>
      <c r="L41" s="3"/>
      <c r="N41" s="460"/>
      <c r="O41" s="460"/>
      <c r="P41" s="492"/>
      <c r="Q41" s="662"/>
      <c r="R41" s="666"/>
      <c r="S41" s="634"/>
      <c r="T41" s="666"/>
      <c r="U41" s="615"/>
      <c r="V41" s="663"/>
      <c r="Y41" s="157" t="str">
        <f t="shared" si="18"/>
        <v>7.72mm  to  12.71mm</v>
      </c>
      <c r="Z41" s="159"/>
      <c r="AA41" s="379"/>
    </row>
    <row r="42" spans="1:27" ht="15" customHeight="1" x14ac:dyDescent="0.25">
      <c r="B42" s="19">
        <v>4</v>
      </c>
      <c r="D42" s="637">
        <v>0.50099999999999989</v>
      </c>
      <c r="E42" s="637">
        <v>0.62549999999999994</v>
      </c>
      <c r="G42" s="639">
        <v>12.72</v>
      </c>
      <c r="H42" s="639">
        <v>15.31</v>
      </c>
      <c r="L42" s="3" t="s">
        <v>404</v>
      </c>
      <c r="N42" s="460">
        <v>35.5</v>
      </c>
      <c r="O42" s="460">
        <v>37</v>
      </c>
      <c r="P42" s="481">
        <f t="shared" ref="P42" si="23">IF(O42=0,0,O42-N42)</f>
        <v>1.5</v>
      </c>
      <c r="Q42" s="485">
        <f t="shared" ref="Q42" si="24">P42/N42</f>
        <v>4.2253521126760563E-2</v>
      </c>
      <c r="R42" s="665">
        <f>(1-$R$34)*O42</f>
        <v>25.9</v>
      </c>
      <c r="S42" s="634"/>
      <c r="T42" s="665">
        <f>(1-$T$34)*$N42</f>
        <v>21.3</v>
      </c>
      <c r="U42" s="481">
        <f>R42-T42</f>
        <v>4.5999999999999979</v>
      </c>
      <c r="V42" s="485">
        <f>U42/T42</f>
        <v>0.21596244131455389</v>
      </c>
      <c r="Y42" s="166" t="str">
        <f t="shared" si="17"/>
        <v>.501"  to  .626"</v>
      </c>
      <c r="Z42" s="170" t="s">
        <v>404</v>
      </c>
      <c r="AA42" s="380">
        <f>O42</f>
        <v>37</v>
      </c>
    </row>
    <row r="43" spans="1:27" ht="15" customHeight="1" x14ac:dyDescent="0.25">
      <c r="B43" s="19"/>
      <c r="D43" s="637"/>
      <c r="E43" s="637"/>
      <c r="G43" s="639"/>
      <c r="H43" s="639"/>
      <c r="L43" s="3"/>
      <c r="N43" s="460"/>
      <c r="O43" s="460"/>
      <c r="P43" s="492"/>
      <c r="Q43" s="662"/>
      <c r="R43" s="666"/>
      <c r="S43" s="634"/>
      <c r="T43" s="666"/>
      <c r="U43" s="615"/>
      <c r="V43" s="663"/>
      <c r="Y43" s="179" t="str">
        <f t="shared" si="18"/>
        <v>12.72mm  to  15.31mm</v>
      </c>
      <c r="Z43" s="183"/>
      <c r="AA43" s="381"/>
    </row>
    <row r="44" spans="1:27" ht="15" customHeight="1" x14ac:dyDescent="0.25">
      <c r="B44" s="19">
        <v>5</v>
      </c>
      <c r="D44" s="637">
        <v>0.62599999999999989</v>
      </c>
      <c r="E44" s="637">
        <v>0.75049999999999994</v>
      </c>
      <c r="G44" s="639">
        <v>15.32</v>
      </c>
      <c r="H44" s="639">
        <v>17.809999999999999</v>
      </c>
      <c r="L44" s="3" t="s">
        <v>405</v>
      </c>
      <c r="N44" s="460">
        <v>40.75</v>
      </c>
      <c r="O44" s="460">
        <v>42</v>
      </c>
      <c r="P44" s="481">
        <f t="shared" ref="P44" si="25">IF(O44=0,0,O44-N44)</f>
        <v>1.25</v>
      </c>
      <c r="Q44" s="485">
        <f t="shared" ref="Q44" si="26">P44/N44</f>
        <v>3.0674846625766871E-2</v>
      </c>
      <c r="R44" s="665">
        <f>(1-$R$34)*O44</f>
        <v>29.4</v>
      </c>
      <c r="S44" s="634"/>
      <c r="T44" s="665">
        <f>(1-$T$34)*$N44</f>
        <v>24.45</v>
      </c>
      <c r="U44" s="481">
        <f>R44-T44</f>
        <v>4.9499999999999993</v>
      </c>
      <c r="V44" s="485">
        <f>U44/T44</f>
        <v>0.20245398773006132</v>
      </c>
      <c r="Y44" s="157" t="str">
        <f t="shared" si="17"/>
        <v>.626"  to  .751"</v>
      </c>
      <c r="Z44" s="159" t="s">
        <v>405</v>
      </c>
      <c r="AA44" s="379">
        <f>O44</f>
        <v>42</v>
      </c>
    </row>
    <row r="45" spans="1:27" ht="15" customHeight="1" x14ac:dyDescent="0.25">
      <c r="A45" s="50"/>
      <c r="B45" s="19"/>
      <c r="D45" s="637"/>
      <c r="E45" s="637"/>
      <c r="G45" s="639"/>
      <c r="H45" s="639"/>
      <c r="L45" s="3"/>
      <c r="N45" s="460"/>
      <c r="O45" s="460"/>
      <c r="P45" s="492"/>
      <c r="Q45" s="662"/>
      <c r="R45" s="666"/>
      <c r="S45" s="634"/>
      <c r="T45" s="666"/>
      <c r="U45" s="615"/>
      <c r="V45" s="663"/>
      <c r="Y45" s="157" t="str">
        <f t="shared" si="18"/>
        <v>15.32mm  to  17.81mm</v>
      </c>
      <c r="Z45" s="159"/>
      <c r="AA45" s="379"/>
    </row>
    <row r="46" spans="1:27" ht="15" customHeight="1" x14ac:dyDescent="0.25">
      <c r="B46" s="19">
        <v>6</v>
      </c>
      <c r="D46" s="637">
        <v>0.75099999999999989</v>
      </c>
      <c r="E46" s="637">
        <v>0.83250000000000002</v>
      </c>
      <c r="G46" s="639">
        <v>17.82</v>
      </c>
      <c r="H46" s="639">
        <v>20.37</v>
      </c>
      <c r="L46" s="3" t="s">
        <v>406</v>
      </c>
      <c r="N46" s="460">
        <v>54.75</v>
      </c>
      <c r="O46" s="460">
        <v>50</v>
      </c>
      <c r="P46" s="481">
        <f t="shared" ref="P46" si="27">IF(O46=0,0,O46-N46)</f>
        <v>-4.75</v>
      </c>
      <c r="Q46" s="485">
        <f t="shared" ref="Q46" si="28">P46/N46</f>
        <v>-8.6757990867579904E-2</v>
      </c>
      <c r="R46" s="665">
        <f>(1-$R$34)*O46</f>
        <v>35</v>
      </c>
      <c r="S46" s="634"/>
      <c r="T46" s="665">
        <f>(1-$T$34)*$N46</f>
        <v>32.85</v>
      </c>
      <c r="U46" s="481">
        <f>R46-T46</f>
        <v>2.1499999999999986</v>
      </c>
      <c r="V46" s="485">
        <f>U46/T46</f>
        <v>6.5449010654490061E-2</v>
      </c>
      <c r="Y46" s="166" t="str">
        <f t="shared" si="17"/>
        <v>.751"  to  .833"</v>
      </c>
      <c r="Z46" s="170" t="s">
        <v>406</v>
      </c>
      <c r="AA46" s="380">
        <f>O46</f>
        <v>50</v>
      </c>
    </row>
    <row r="47" spans="1:27" ht="15" customHeight="1" x14ac:dyDescent="0.25">
      <c r="B47" s="19"/>
      <c r="D47" s="637"/>
      <c r="E47" s="637"/>
      <c r="G47" s="639"/>
      <c r="H47" s="639"/>
      <c r="L47" s="3"/>
      <c r="N47" s="460"/>
      <c r="O47" s="460"/>
      <c r="P47" s="492"/>
      <c r="Q47" s="662"/>
      <c r="R47" s="666"/>
      <c r="S47" s="634"/>
      <c r="T47" s="666"/>
      <c r="U47" s="615"/>
      <c r="V47" s="663"/>
      <c r="Y47" s="179" t="str">
        <f t="shared" si="18"/>
        <v>17.82mm  to  20.37mm</v>
      </c>
      <c r="Z47" s="183"/>
      <c r="AA47" s="381"/>
    </row>
    <row r="48" spans="1:27" ht="15" customHeight="1" x14ac:dyDescent="0.25">
      <c r="B48" s="19">
        <v>7</v>
      </c>
      <c r="D48" s="637">
        <v>0.83299999999999996</v>
      </c>
      <c r="E48" s="637">
        <v>1.0004999999999999</v>
      </c>
      <c r="G48" s="639">
        <v>20.38</v>
      </c>
      <c r="H48" s="639">
        <v>25.41</v>
      </c>
      <c r="L48" s="3" t="s">
        <v>407</v>
      </c>
      <c r="N48" s="460">
        <v>56.5</v>
      </c>
      <c r="O48" s="460">
        <v>58</v>
      </c>
      <c r="P48" s="481">
        <f t="shared" ref="P48" si="29">IF(O48=0,0,O48-N48)</f>
        <v>1.5</v>
      </c>
      <c r="Q48" s="485">
        <f t="shared" ref="Q48" si="30">P48/N48</f>
        <v>2.6548672566371681E-2</v>
      </c>
      <c r="R48" s="665">
        <f>(1-$R$34)*O48</f>
        <v>40.599999999999994</v>
      </c>
      <c r="S48" s="634"/>
      <c r="T48" s="665">
        <f>(1-$T$34)*$N48</f>
        <v>33.9</v>
      </c>
      <c r="U48" s="481">
        <f>R48-T48</f>
        <v>6.6999999999999957</v>
      </c>
      <c r="V48" s="485">
        <f>U48/T48</f>
        <v>0.19764011799410017</v>
      </c>
      <c r="Y48" s="157" t="str">
        <f t="shared" si="17"/>
        <v>.833"  to  1.001"</v>
      </c>
      <c r="Z48" s="159" t="s">
        <v>407</v>
      </c>
      <c r="AA48" s="379">
        <f>O48</f>
        <v>58</v>
      </c>
    </row>
    <row r="49" spans="2:29" ht="15" customHeight="1" x14ac:dyDescent="0.25">
      <c r="B49" s="19"/>
      <c r="D49" s="637"/>
      <c r="E49" s="637"/>
      <c r="G49" s="639"/>
      <c r="H49" s="639"/>
      <c r="L49" s="3"/>
      <c r="N49" s="460"/>
      <c r="O49" s="460"/>
      <c r="P49" s="492"/>
      <c r="Q49" s="662"/>
      <c r="R49" s="666"/>
      <c r="S49" s="634"/>
      <c r="T49" s="666"/>
      <c r="U49" s="615"/>
      <c r="V49" s="663"/>
      <c r="Y49" s="157" t="str">
        <f t="shared" si="18"/>
        <v>20.38mm  to  25.41mm</v>
      </c>
      <c r="Z49" s="377"/>
      <c r="AA49" s="195"/>
      <c r="AC49" s="11"/>
    </row>
    <row r="50" spans="2:29" ht="15" customHeight="1" x14ac:dyDescent="0.25">
      <c r="B50" s="19"/>
      <c r="D50" s="5"/>
      <c r="E50" s="5"/>
      <c r="G50" s="39"/>
      <c r="H50" s="39"/>
      <c r="L50" s="3"/>
      <c r="N50" s="460"/>
      <c r="O50" s="460"/>
      <c r="P50" s="492"/>
      <c r="Q50" s="662"/>
      <c r="R50" s="666"/>
      <c r="S50" s="634"/>
      <c r="T50" s="666"/>
      <c r="U50" s="615"/>
      <c r="V50" s="663"/>
      <c r="Y50" s="378" t="s">
        <v>409</v>
      </c>
      <c r="Z50" s="446"/>
      <c r="AA50" s="447"/>
      <c r="AC50" s="11"/>
    </row>
    <row r="51" spans="2:29" ht="15" customHeight="1" x14ac:dyDescent="0.25">
      <c r="B51" s="19">
        <v>8</v>
      </c>
      <c r="D51" s="637">
        <v>1.0999999999999999E-2</v>
      </c>
      <c r="E51" s="637">
        <v>1.0004999999999999</v>
      </c>
      <c r="G51" s="639">
        <v>0.28000000000000003</v>
      </c>
      <c r="H51" s="639">
        <v>25.41</v>
      </c>
      <c r="L51" s="3" t="s">
        <v>408</v>
      </c>
      <c r="N51" s="460">
        <v>238.5</v>
      </c>
      <c r="O51" s="460">
        <v>240</v>
      </c>
      <c r="P51" s="481">
        <f t="shared" ref="P51" si="31">IF(O51=0,0,O51-N51)</f>
        <v>1.5</v>
      </c>
      <c r="Q51" s="485">
        <f t="shared" ref="Q51" si="32">P51/N51</f>
        <v>6.2893081761006293E-3</v>
      </c>
      <c r="R51" s="665">
        <f>(1-$R$34)*O51</f>
        <v>168</v>
      </c>
      <c r="S51" s="634"/>
      <c r="T51" s="665">
        <f>(1-$T$34)*$N51</f>
        <v>143.1</v>
      </c>
      <c r="U51" s="481">
        <f>R51-T51</f>
        <v>24.900000000000006</v>
      </c>
      <c r="V51" s="485">
        <f>U51/T51</f>
        <v>0.17400419287211744</v>
      </c>
      <c r="Y51" s="658" t="str">
        <f t="shared" si="17"/>
        <v>.011"  to  1.001"</v>
      </c>
      <c r="Z51" s="176" t="s">
        <v>408</v>
      </c>
      <c r="AA51" s="382">
        <f>O51</f>
        <v>240</v>
      </c>
    </row>
    <row r="52" spans="2:29" s="44" customFormat="1" ht="15" customHeight="1" x14ac:dyDescent="0.25">
      <c r="B52" s="19"/>
      <c r="D52" s="640"/>
      <c r="E52" s="640"/>
      <c r="G52" s="641"/>
      <c r="H52" s="641"/>
      <c r="L52" s="794"/>
      <c r="N52" s="795"/>
      <c r="O52" s="795"/>
      <c r="P52" s="795"/>
      <c r="Q52" s="795"/>
      <c r="R52" s="796"/>
      <c r="S52" s="668"/>
      <c r="T52" s="668"/>
      <c r="Y52" s="779" t="str">
        <f>_xlfn.CONCAT(TEXT($G51,"#.00"),"mm","  to  ",TEXT($H51,"0.00"),"mm")</f>
        <v>.28mm  to  25.41mm</v>
      </c>
      <c r="Z52" s="780"/>
      <c r="AA52" s="781"/>
      <c r="AB52" s="436"/>
      <c r="AC52" s="436"/>
    </row>
    <row r="53" spans="2:29" ht="4.1500000000000004" customHeight="1" thickBot="1" x14ac:dyDescent="0.3">
      <c r="B53" s="19"/>
      <c r="D53" s="5"/>
      <c r="E53" s="5"/>
      <c r="G53" s="39"/>
      <c r="H53" s="39"/>
      <c r="L53" s="3"/>
      <c r="Y53" s="659"/>
      <c r="Z53" s="660"/>
      <c r="AA53" s="661"/>
    </row>
    <row r="54" spans="2:29" ht="7.9" customHeight="1" x14ac:dyDescent="0.25">
      <c r="B54" s="19"/>
      <c r="D54" s="5"/>
      <c r="E54" s="5"/>
      <c r="G54" s="39"/>
      <c r="H54" s="39"/>
      <c r="L54" s="36"/>
    </row>
    <row r="55" spans="2:29" x14ac:dyDescent="0.25">
      <c r="B55" s="19"/>
      <c r="D55" s="5"/>
      <c r="E55" s="5"/>
      <c r="G55" s="39"/>
      <c r="H55" s="39"/>
      <c r="L55" s="36"/>
      <c r="Y55" s="794" t="s">
        <v>400</v>
      </c>
    </row>
    <row r="56" spans="2:29" x14ac:dyDescent="0.25">
      <c r="B56" s="19"/>
      <c r="D56" s="5"/>
      <c r="E56" s="5"/>
      <c r="G56" s="39"/>
      <c r="H56" s="39"/>
      <c r="L56" s="36"/>
    </row>
    <row r="57" spans="2:29" x14ac:dyDescent="0.25">
      <c r="B57" s="19"/>
      <c r="D57" s="5"/>
      <c r="E57" s="5"/>
      <c r="G57" s="39"/>
      <c r="H57" s="39"/>
    </row>
    <row r="58" spans="2:29" x14ac:dyDescent="0.25">
      <c r="D58" s="5"/>
      <c r="E58" s="5"/>
      <c r="G58" s="39"/>
      <c r="H58" s="39"/>
    </row>
  </sheetData>
  <sheetProtection algorithmName="SHA-512" hashValue="nD9Xe7gqajNpfRC7QP+qKndAqCJo3iBZTZu0cjKHemn59jXS5KyCiM9PM0rA4P52c+YM6VXefcNlXDadupvrVg==" saltValue="cEepS7nY+KbF2BW/+0a6Lg==" spinCount="100000" sheet="1" objects="1" scenarios="1"/>
  <mergeCells count="1">
    <mergeCell ref="Y9:Y10"/>
  </mergeCells>
  <conditionalFormatting sqref="Y28">
    <cfRule type="expression" dxfId="8" priority="2">
      <formula>$Q28="y"</formula>
    </cfRule>
  </conditionalFormatting>
  <conditionalFormatting sqref="Y29:Y33">
    <cfRule type="expression" dxfId="7" priority="1">
      <formula>#REF!="y"</formula>
    </cfRule>
  </conditionalFormatting>
  <pageMargins left="0.7" right="0.7" top="0.75" bottom="0.75" header="0.3" footer="0.3"/>
  <legacy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49666-A5D8-40BA-B0B4-577A08187667}">
  <sheetPr codeName="Sheet24">
    <outlinePr summaryBelow="0"/>
    <pageSetUpPr autoPageBreaks="0" fitToPage="1"/>
  </sheetPr>
  <dimension ref="A1:V106"/>
  <sheetViews>
    <sheetView zoomScale="80" zoomScaleNormal="80" workbookViewId="0">
      <selection activeCell="U35" sqref="U34:U35"/>
    </sheetView>
  </sheetViews>
  <sheetFormatPr defaultColWidth="9.140625" defaultRowHeight="15.75" outlineLevelRow="1" outlineLevelCol="1" x14ac:dyDescent="0.25"/>
  <cols>
    <col min="1" max="2" width="1.7109375" customWidth="1"/>
    <col min="3" max="3" width="9.140625" style="3" customWidth="1"/>
    <col min="4" max="4" width="1.7109375" customWidth="1"/>
    <col min="5" max="6" width="9.140625" style="13" customWidth="1" outlineLevel="1"/>
    <col min="7" max="7" width="2.7109375" customWidth="1" outlineLevel="1"/>
    <col min="8" max="8" width="9.140625" customWidth="1" outlineLevel="1"/>
    <col min="9" max="9" width="9.140625" style="13" customWidth="1" outlineLevel="1"/>
    <col min="10" max="10" width="2.7109375" customWidth="1" outlineLevel="1"/>
    <col min="11" max="11" width="9.140625" style="13" customWidth="1" outlineLevel="1"/>
    <col min="12" max="12" width="2.7109375" style="9" customWidth="1" outlineLevel="1"/>
    <col min="13" max="13" width="16.7109375" style="9" customWidth="1"/>
    <col min="14" max="14" width="17.140625" style="7" customWidth="1"/>
    <col min="15" max="15" width="20.140625" style="9" customWidth="1"/>
    <col min="16" max="16" width="19.7109375" style="7" customWidth="1"/>
    <col min="17" max="17" width="17.5703125" style="42" customWidth="1"/>
    <col min="18" max="16384" width="9.140625" style="9"/>
  </cols>
  <sheetData>
    <row r="1" spans="1:17" ht="5.0999999999999996" customHeight="1" x14ac:dyDescent="0.25"/>
    <row r="2" spans="1:17" ht="21" x14ac:dyDescent="0.35">
      <c r="E2" s="9"/>
      <c r="F2" s="9"/>
      <c r="M2" s="1" t="s">
        <v>222</v>
      </c>
      <c r="N2" s="23"/>
      <c r="O2" s="41"/>
    </row>
    <row r="3" spans="1:17" ht="18.75" collapsed="1" x14ac:dyDescent="0.3">
      <c r="E3" s="3"/>
      <c r="F3" s="3"/>
      <c r="M3" s="9" t="s">
        <v>448</v>
      </c>
      <c r="N3" s="23"/>
      <c r="O3" s="41"/>
    </row>
    <row r="4" spans="1:17" customFormat="1" ht="15" hidden="1" outlineLevel="1" x14ac:dyDescent="0.25">
      <c r="E4" s="743" t="s">
        <v>893</v>
      </c>
      <c r="F4" s="743" t="s">
        <v>894</v>
      </c>
      <c r="I4" s="13"/>
      <c r="K4" s="13"/>
      <c r="M4" s="18"/>
      <c r="N4" s="16"/>
      <c r="O4" s="54"/>
      <c r="P4" s="11"/>
      <c r="Q4" s="13"/>
    </row>
    <row r="5" spans="1:17" customFormat="1" ht="15" hidden="1" outlineLevel="1" x14ac:dyDescent="0.25">
      <c r="C5" s="3"/>
      <c r="E5" s="2">
        <v>270</v>
      </c>
      <c r="F5" s="2" t="s">
        <v>222</v>
      </c>
      <c r="I5" s="13"/>
      <c r="K5" s="13"/>
      <c r="M5" s="18"/>
      <c r="N5" s="16"/>
      <c r="O5" s="54"/>
      <c r="P5" s="11"/>
      <c r="Q5" s="13"/>
    </row>
    <row r="6" spans="1:17" customFormat="1" ht="15" hidden="1" outlineLevel="1" x14ac:dyDescent="0.25">
      <c r="C6" s="3"/>
      <c r="E6" s="3"/>
      <c r="F6" s="3"/>
      <c r="I6" s="13"/>
      <c r="K6" s="13"/>
      <c r="M6" s="18"/>
      <c r="N6" s="16"/>
      <c r="O6" s="54"/>
      <c r="P6" s="11"/>
      <c r="Q6" s="13"/>
    </row>
    <row r="7" spans="1:17" customFormat="1" ht="15" hidden="1" outlineLevel="1" x14ac:dyDescent="0.25">
      <c r="C7" s="3"/>
      <c r="E7" s="55" t="s">
        <v>223</v>
      </c>
      <c r="F7" s="13"/>
      <c r="K7" s="13"/>
      <c r="N7" s="11"/>
      <c r="P7" s="11"/>
      <c r="Q7" s="13"/>
    </row>
    <row r="8" spans="1:17" customFormat="1" ht="15" hidden="1" outlineLevel="1" x14ac:dyDescent="0.25">
      <c r="C8" s="3"/>
      <c r="E8" s="13" t="s">
        <v>631</v>
      </c>
      <c r="F8" s="457"/>
      <c r="I8" s="13"/>
      <c r="K8" s="13"/>
      <c r="N8" s="11"/>
      <c r="P8" s="11"/>
      <c r="Q8" s="13"/>
    </row>
    <row r="9" spans="1:17" x14ac:dyDescent="0.25">
      <c r="F9" s="457"/>
    </row>
    <row r="10" spans="1:17" x14ac:dyDescent="0.25">
      <c r="M10" s="797" t="s">
        <v>3</v>
      </c>
      <c r="N10" s="798" t="s">
        <v>224</v>
      </c>
      <c r="O10" s="799" t="s">
        <v>573</v>
      </c>
      <c r="P10" s="11"/>
      <c r="Q10" s="13"/>
    </row>
    <row r="11" spans="1:17" x14ac:dyDescent="0.25">
      <c r="E11" s="19">
        <v>1</v>
      </c>
      <c r="F11" s="19">
        <v>5</v>
      </c>
      <c r="M11" s="431" t="str">
        <f>_xlfn.CONCAT(E11,"W - ",F11,"W")</f>
        <v>1W - 5W</v>
      </c>
      <c r="N11" s="159" t="s">
        <v>225</v>
      </c>
      <c r="O11" s="608">
        <v>5</v>
      </c>
      <c r="P11" s="11"/>
      <c r="Q11" s="13"/>
    </row>
    <row r="12" spans="1:17" x14ac:dyDescent="0.25">
      <c r="E12" s="19">
        <v>6</v>
      </c>
      <c r="F12" s="19">
        <v>8</v>
      </c>
      <c r="M12" s="748" t="str">
        <f>_xlfn.CONCAT(E12,"W - ",F12,"W")</f>
        <v>6W - 8W</v>
      </c>
      <c r="N12" s="749" t="s">
        <v>226</v>
      </c>
      <c r="O12" s="609">
        <v>6</v>
      </c>
      <c r="P12" s="11"/>
      <c r="Q12" s="13"/>
    </row>
    <row r="13" spans="1:17" ht="16.5" thickBot="1" x14ac:dyDescent="0.3">
      <c r="E13" s="2"/>
      <c r="F13" s="2"/>
      <c r="M13"/>
      <c r="N13" s="11"/>
      <c r="O13"/>
      <c r="P13" s="11"/>
      <c r="Q13" s="13"/>
    </row>
    <row r="14" spans="1:17" x14ac:dyDescent="0.25">
      <c r="C14" s="13" t="s">
        <v>227</v>
      </c>
      <c r="D14" s="13"/>
      <c r="M14" s="767" t="s">
        <v>222</v>
      </c>
      <c r="N14" s="767"/>
      <c r="O14" s="767"/>
      <c r="P14" s="767"/>
      <c r="Q14" s="768"/>
    </row>
    <row r="15" spans="1:17" s="80" customFormat="1" ht="17.25" x14ac:dyDescent="0.4">
      <c r="C15" s="496"/>
      <c r="G15"/>
      <c r="J15"/>
      <c r="M15" s="1084" t="s">
        <v>9</v>
      </c>
      <c r="N15" s="1086" t="s">
        <v>228</v>
      </c>
      <c r="O15" s="567" t="s">
        <v>3</v>
      </c>
      <c r="P15" s="559"/>
      <c r="Q15" s="1088" t="s">
        <v>573</v>
      </c>
    </row>
    <row r="16" spans="1:17" s="569" customFormat="1" x14ac:dyDescent="0.25">
      <c r="A16" s="80"/>
      <c r="B16" s="80"/>
      <c r="C16" s="496"/>
      <c r="D16" s="80"/>
      <c r="E16" s="515"/>
      <c r="F16" s="515"/>
      <c r="G16"/>
      <c r="H16" s="80"/>
      <c r="I16" s="515"/>
      <c r="J16"/>
      <c r="K16" s="515"/>
      <c r="M16" s="1085"/>
      <c r="N16" s="1087"/>
      <c r="O16" s="556" t="s">
        <v>4</v>
      </c>
      <c r="P16" s="568" t="s">
        <v>5</v>
      </c>
      <c r="Q16" s="1089" t="s">
        <v>573</v>
      </c>
    </row>
    <row r="17" spans="3:22" x14ac:dyDescent="0.25">
      <c r="C17" s="3">
        <f>VALUE(LEFT(N17,1))</f>
        <v>1</v>
      </c>
      <c r="E17" s="334">
        <v>5.0000000000000001E-3</v>
      </c>
      <c r="F17" s="334">
        <v>0.01</v>
      </c>
      <c r="G17" s="13"/>
      <c r="H17" s="147">
        <v>0.13</v>
      </c>
      <c r="I17" s="147">
        <v>0.25</v>
      </c>
      <c r="K17" s="147" t="str">
        <f>M17</f>
        <v>B010</v>
      </c>
      <c r="L17" s="43"/>
      <c r="M17" s="557" t="s">
        <v>229</v>
      </c>
      <c r="N17" s="448" t="s">
        <v>230</v>
      </c>
      <c r="O17" s="448" t="str">
        <f t="shared" ref="O17:O80" si="0">_xlfn.CONCAT(TEXT($E17,"#.000"),""""," - ",TEXT($F17,"#.000"),"""")</f>
        <v>.005" - .010"</v>
      </c>
      <c r="P17" s="448" t="str">
        <f>_xlfn.CONCAT(TEXT($H17,"0.00")," - ",TEXT($I17,"0.00"),"mm")</f>
        <v>0.13 - 0.25mm</v>
      </c>
      <c r="Q17" s="677">
        <f t="shared" ref="Q17:Q48" si="1">_xlfn.XLOOKUP($C17,$E$11:$E$12,$O$11:$O$12,"",-1)</f>
        <v>5</v>
      </c>
    </row>
    <row r="18" spans="3:22" x14ac:dyDescent="0.25">
      <c r="C18" s="3">
        <f t="shared" ref="C18:C81" si="2">VALUE(LEFT(N18,1))</f>
        <v>1</v>
      </c>
      <c r="E18" s="676">
        <v>0.01</v>
      </c>
      <c r="F18" s="676">
        <v>1.4999999999999999E-2</v>
      </c>
      <c r="G18" s="13"/>
      <c r="H18" s="458">
        <v>0.25</v>
      </c>
      <c r="I18" s="458">
        <v>0.38</v>
      </c>
      <c r="K18" s="458" t="str">
        <f t="shared" ref="K18:K81" si="3">M18</f>
        <v>B015</v>
      </c>
      <c r="L18" s="43"/>
      <c r="M18" s="360" t="s">
        <v>231</v>
      </c>
      <c r="N18" s="358" t="s">
        <v>232</v>
      </c>
      <c r="O18" s="358" t="str">
        <f t="shared" si="0"/>
        <v>.010" - .015"</v>
      </c>
      <c r="P18" s="358" t="str">
        <f t="shared" ref="P18:P81" si="4">_xlfn.CONCAT(TEXT($H18,"0.00")," - ",TEXT($I18,"0.00"),"mm")</f>
        <v>0.25 - 0.38mm</v>
      </c>
      <c r="Q18" s="678">
        <f t="shared" si="1"/>
        <v>5</v>
      </c>
    </row>
    <row r="19" spans="3:22" x14ac:dyDescent="0.25">
      <c r="C19" s="3">
        <f t="shared" si="2"/>
        <v>1</v>
      </c>
      <c r="E19" s="334">
        <v>1.4999999999999999E-2</v>
      </c>
      <c r="F19" s="334">
        <v>0.02</v>
      </c>
      <c r="G19" s="13"/>
      <c r="H19" s="147">
        <v>0.38</v>
      </c>
      <c r="I19" s="147">
        <v>0.51</v>
      </c>
      <c r="K19" s="147" t="str">
        <f t="shared" si="3"/>
        <v>B020</v>
      </c>
      <c r="L19" s="43"/>
      <c r="M19" s="198" t="s">
        <v>233</v>
      </c>
      <c r="N19" s="221" t="s">
        <v>234</v>
      </c>
      <c r="O19" s="221" t="str">
        <f t="shared" si="0"/>
        <v>.015" - .020"</v>
      </c>
      <c r="P19" s="221" t="str">
        <f t="shared" si="4"/>
        <v>0.38 - 0.51mm</v>
      </c>
      <c r="Q19" s="244">
        <f t="shared" si="1"/>
        <v>5</v>
      </c>
    </row>
    <row r="20" spans="3:22" x14ac:dyDescent="0.25">
      <c r="C20" s="3">
        <f t="shared" si="2"/>
        <v>1</v>
      </c>
      <c r="E20" s="334">
        <v>0.02</v>
      </c>
      <c r="F20" s="334">
        <v>2.5000000000000001E-2</v>
      </c>
      <c r="G20" s="13"/>
      <c r="H20" s="147">
        <v>0.51</v>
      </c>
      <c r="I20" s="147">
        <v>0.64</v>
      </c>
      <c r="K20" s="147" t="str">
        <f t="shared" si="3"/>
        <v>B025</v>
      </c>
      <c r="L20" s="43"/>
      <c r="M20" s="360" t="s">
        <v>235</v>
      </c>
      <c r="N20" s="358" t="s">
        <v>236</v>
      </c>
      <c r="O20" s="358" t="str">
        <f t="shared" si="0"/>
        <v>.020" - .025"</v>
      </c>
      <c r="P20" s="358" t="str">
        <f t="shared" si="4"/>
        <v>0.51 - 0.64mm</v>
      </c>
      <c r="Q20" s="678">
        <f t="shared" si="1"/>
        <v>5</v>
      </c>
    </row>
    <row r="21" spans="3:22" x14ac:dyDescent="0.25">
      <c r="C21" s="3">
        <f t="shared" si="2"/>
        <v>1</v>
      </c>
      <c r="E21" s="334">
        <v>2.5000000000000001E-2</v>
      </c>
      <c r="F21" s="334">
        <v>0.03</v>
      </c>
      <c r="G21" s="13"/>
      <c r="H21" s="147">
        <v>0.64</v>
      </c>
      <c r="I21" s="147">
        <v>0.76</v>
      </c>
      <c r="K21" s="147" t="str">
        <f t="shared" si="3"/>
        <v>B030</v>
      </c>
      <c r="L21" s="43"/>
      <c r="M21" s="198" t="s">
        <v>237</v>
      </c>
      <c r="N21" s="221" t="s">
        <v>238</v>
      </c>
      <c r="O21" s="221" t="str">
        <f t="shared" si="0"/>
        <v>.025" - .030"</v>
      </c>
      <c r="P21" s="221" t="str">
        <f t="shared" si="4"/>
        <v>0.64 - 0.76mm</v>
      </c>
      <c r="Q21" s="244">
        <f t="shared" si="1"/>
        <v>5</v>
      </c>
    </row>
    <row r="22" spans="3:22" x14ac:dyDescent="0.25">
      <c r="C22" s="3">
        <f t="shared" si="2"/>
        <v>1</v>
      </c>
      <c r="E22" s="334">
        <v>0.03</v>
      </c>
      <c r="F22" s="334">
        <v>3.5000000000000003E-2</v>
      </c>
      <c r="G22" s="13"/>
      <c r="H22" s="147">
        <v>0.76</v>
      </c>
      <c r="I22" s="147">
        <v>0.89</v>
      </c>
      <c r="K22" s="147" t="str">
        <f t="shared" si="3"/>
        <v>B035</v>
      </c>
      <c r="L22" s="43"/>
      <c r="M22" s="360" t="s">
        <v>239</v>
      </c>
      <c r="N22" s="358" t="s">
        <v>240</v>
      </c>
      <c r="O22" s="358" t="str">
        <f t="shared" si="0"/>
        <v>.030" - .035"</v>
      </c>
      <c r="P22" s="358" t="str">
        <f t="shared" si="4"/>
        <v>0.76 - 0.89mm</v>
      </c>
      <c r="Q22" s="678">
        <f t="shared" si="1"/>
        <v>5</v>
      </c>
    </row>
    <row r="23" spans="3:22" x14ac:dyDescent="0.25">
      <c r="C23" s="3">
        <f t="shared" si="2"/>
        <v>1</v>
      </c>
      <c r="E23" s="334">
        <v>3.5000000000000003E-2</v>
      </c>
      <c r="F23" s="334">
        <v>0.04</v>
      </c>
      <c r="G23" s="13"/>
      <c r="H23" s="147">
        <v>0.89</v>
      </c>
      <c r="I23" s="147">
        <v>1.02</v>
      </c>
      <c r="K23" s="147" t="str">
        <f t="shared" si="3"/>
        <v>B040</v>
      </c>
      <c r="L23" s="43"/>
      <c r="M23" s="198" t="s">
        <v>241</v>
      </c>
      <c r="N23" s="221" t="s">
        <v>242</v>
      </c>
      <c r="O23" s="221" t="str">
        <f t="shared" si="0"/>
        <v>.035" - .040"</v>
      </c>
      <c r="P23" s="221" t="str">
        <f t="shared" si="4"/>
        <v>0.89 - 1.02mm</v>
      </c>
      <c r="Q23" s="244">
        <f t="shared" si="1"/>
        <v>5</v>
      </c>
    </row>
    <row r="24" spans="3:22" x14ac:dyDescent="0.25">
      <c r="C24" s="3">
        <f t="shared" si="2"/>
        <v>1</v>
      </c>
      <c r="E24" s="334">
        <v>0.04</v>
      </c>
      <c r="F24" s="334">
        <v>4.4999999999999998E-2</v>
      </c>
      <c r="G24" s="13"/>
      <c r="H24" s="147">
        <v>1.02</v>
      </c>
      <c r="I24" s="147">
        <v>1.1399999999999999</v>
      </c>
      <c r="K24" s="147" t="str">
        <f t="shared" si="3"/>
        <v>B045</v>
      </c>
      <c r="L24" s="43"/>
      <c r="M24" s="360" t="s">
        <v>243</v>
      </c>
      <c r="N24" s="358" t="s">
        <v>244</v>
      </c>
      <c r="O24" s="358" t="str">
        <f t="shared" si="0"/>
        <v>.040" - .045"</v>
      </c>
      <c r="P24" s="358" t="str">
        <f t="shared" si="4"/>
        <v>1.02 - 1.14mm</v>
      </c>
      <c r="Q24" s="678">
        <f t="shared" si="1"/>
        <v>5</v>
      </c>
    </row>
    <row r="25" spans="3:22" x14ac:dyDescent="0.25">
      <c r="C25" s="3">
        <f t="shared" si="2"/>
        <v>1</v>
      </c>
      <c r="E25" s="334">
        <v>4.4999999999999998E-2</v>
      </c>
      <c r="F25" s="334">
        <v>0.05</v>
      </c>
      <c r="G25" s="13"/>
      <c r="H25" s="147">
        <v>1.1399999999999999</v>
      </c>
      <c r="I25" s="147">
        <v>1.27</v>
      </c>
      <c r="K25" s="147" t="str">
        <f t="shared" si="3"/>
        <v>B050</v>
      </c>
      <c r="L25" s="43"/>
      <c r="M25" s="198" t="s">
        <v>245</v>
      </c>
      <c r="N25" s="221" t="s">
        <v>246</v>
      </c>
      <c r="O25" s="221" t="str">
        <f t="shared" si="0"/>
        <v>.045" - .050"</v>
      </c>
      <c r="P25" s="221" t="str">
        <f t="shared" si="4"/>
        <v>1.14 - 1.27mm</v>
      </c>
      <c r="Q25" s="244">
        <f t="shared" si="1"/>
        <v>5</v>
      </c>
    </row>
    <row r="26" spans="3:22" x14ac:dyDescent="0.25">
      <c r="C26" s="3">
        <f t="shared" si="2"/>
        <v>1</v>
      </c>
      <c r="E26" s="334">
        <v>0.05</v>
      </c>
      <c r="F26" s="334">
        <v>5.5E-2</v>
      </c>
      <c r="G26" s="13"/>
      <c r="H26" s="147">
        <v>1.27</v>
      </c>
      <c r="I26" s="147">
        <v>1.4</v>
      </c>
      <c r="K26" s="147" t="str">
        <f t="shared" si="3"/>
        <v>B055</v>
      </c>
      <c r="L26" s="43"/>
      <c r="M26" s="360" t="s">
        <v>247</v>
      </c>
      <c r="N26" s="358" t="s">
        <v>248</v>
      </c>
      <c r="O26" s="358" t="str">
        <f t="shared" si="0"/>
        <v>.050" - .055"</v>
      </c>
      <c r="P26" s="358" t="str">
        <f t="shared" si="4"/>
        <v>1.27 - 1.40mm</v>
      </c>
      <c r="Q26" s="678">
        <f t="shared" si="1"/>
        <v>5</v>
      </c>
      <c r="U26"/>
      <c r="V26"/>
    </row>
    <row r="27" spans="3:22" x14ac:dyDescent="0.25">
      <c r="C27" s="3">
        <f t="shared" si="2"/>
        <v>1</v>
      </c>
      <c r="E27" s="334">
        <v>5.5E-2</v>
      </c>
      <c r="F27" s="334">
        <v>0.06</v>
      </c>
      <c r="G27" s="13"/>
      <c r="H27" s="147">
        <v>1.4</v>
      </c>
      <c r="I27" s="147">
        <v>1.52</v>
      </c>
      <c r="K27" s="147" t="str">
        <f t="shared" si="3"/>
        <v>B060</v>
      </c>
      <c r="L27" s="43"/>
      <c r="M27" s="198" t="s">
        <v>249</v>
      </c>
      <c r="N27" s="221" t="s">
        <v>250</v>
      </c>
      <c r="O27" s="221" t="str">
        <f t="shared" si="0"/>
        <v>.055" - .060"</v>
      </c>
      <c r="P27" s="221" t="str">
        <f t="shared" si="4"/>
        <v>1.40 - 1.52mm</v>
      </c>
      <c r="Q27" s="244">
        <f t="shared" si="1"/>
        <v>5</v>
      </c>
      <c r="U27"/>
      <c r="V27"/>
    </row>
    <row r="28" spans="3:22" x14ac:dyDescent="0.25">
      <c r="C28" s="3">
        <f t="shared" si="2"/>
        <v>1</v>
      </c>
      <c r="E28" s="334">
        <v>0.06</v>
      </c>
      <c r="F28" s="334">
        <v>6.5000000000000002E-2</v>
      </c>
      <c r="G28" s="13"/>
      <c r="H28" s="147">
        <v>1.52</v>
      </c>
      <c r="I28" s="147">
        <v>1.65</v>
      </c>
      <c r="K28" s="147" t="str">
        <f t="shared" si="3"/>
        <v>B065</v>
      </c>
      <c r="L28" s="43"/>
      <c r="M28" s="360" t="s">
        <v>251</v>
      </c>
      <c r="N28" s="358" t="s">
        <v>252</v>
      </c>
      <c r="O28" s="358" t="str">
        <f t="shared" si="0"/>
        <v>.060" - .065"</v>
      </c>
      <c r="P28" s="358" t="str">
        <f t="shared" si="4"/>
        <v>1.52 - 1.65mm</v>
      </c>
      <c r="Q28" s="678">
        <f t="shared" si="1"/>
        <v>5</v>
      </c>
      <c r="U28"/>
      <c r="V28"/>
    </row>
    <row r="29" spans="3:22" x14ac:dyDescent="0.25">
      <c r="C29" s="3">
        <f t="shared" si="2"/>
        <v>1</v>
      </c>
      <c r="E29" s="334">
        <v>6.5000000000000002E-2</v>
      </c>
      <c r="F29" s="334">
        <v>7.0000000000000007E-2</v>
      </c>
      <c r="G29" s="13"/>
      <c r="H29" s="147">
        <v>1.65</v>
      </c>
      <c r="I29" s="147">
        <v>1.78</v>
      </c>
      <c r="K29" s="147" t="str">
        <f t="shared" si="3"/>
        <v>B070</v>
      </c>
      <c r="L29" s="43"/>
      <c r="M29" s="198" t="s">
        <v>253</v>
      </c>
      <c r="N29" s="221" t="s">
        <v>254</v>
      </c>
      <c r="O29" s="221" t="str">
        <f t="shared" si="0"/>
        <v>.065" - .070"</v>
      </c>
      <c r="P29" s="221" t="str">
        <f t="shared" si="4"/>
        <v>1.65 - 1.78mm</v>
      </c>
      <c r="Q29" s="244">
        <f t="shared" si="1"/>
        <v>5</v>
      </c>
      <c r="U29"/>
      <c r="V29"/>
    </row>
    <row r="30" spans="3:22" ht="16.5" thickBot="1" x14ac:dyDescent="0.3">
      <c r="C30" s="746">
        <f t="shared" si="2"/>
        <v>1</v>
      </c>
      <c r="E30" s="676">
        <v>7.0000000000000007E-2</v>
      </c>
      <c r="F30" s="676">
        <v>7.4999999999999997E-2</v>
      </c>
      <c r="G30" s="13"/>
      <c r="H30" s="458">
        <v>1.78</v>
      </c>
      <c r="I30" s="458">
        <v>1.91</v>
      </c>
      <c r="K30" s="458" t="str">
        <f t="shared" si="3"/>
        <v>B075</v>
      </c>
      <c r="L30" s="43"/>
      <c r="M30" s="361" t="s">
        <v>255</v>
      </c>
      <c r="N30" s="362" t="s">
        <v>256</v>
      </c>
      <c r="O30" s="362" t="str">
        <f t="shared" si="0"/>
        <v>.070" - .075"</v>
      </c>
      <c r="P30" s="362" t="str">
        <f t="shared" si="4"/>
        <v>1.78 - 1.91mm</v>
      </c>
      <c r="Q30" s="679">
        <f t="shared" si="1"/>
        <v>5</v>
      </c>
      <c r="U30"/>
      <c r="V30"/>
    </row>
    <row r="31" spans="3:22" x14ac:dyDescent="0.25">
      <c r="C31" s="3">
        <f t="shared" si="2"/>
        <v>2</v>
      </c>
      <c r="E31" s="334">
        <v>7.4999999999999997E-2</v>
      </c>
      <c r="F31" s="334">
        <v>8.2000000000000003E-2</v>
      </c>
      <c r="G31" s="13"/>
      <c r="H31" s="147">
        <v>1.91</v>
      </c>
      <c r="I31" s="147">
        <v>2.08</v>
      </c>
      <c r="K31" s="147" t="str">
        <f t="shared" si="3"/>
        <v>B082</v>
      </c>
      <c r="L31" s="43"/>
      <c r="M31" s="449" t="s">
        <v>257</v>
      </c>
      <c r="N31" s="450" t="s">
        <v>258</v>
      </c>
      <c r="O31" s="450" t="str">
        <f t="shared" si="0"/>
        <v>.075" - .082"</v>
      </c>
      <c r="P31" s="450" t="str">
        <f t="shared" si="4"/>
        <v>1.91 - 2.08mm</v>
      </c>
      <c r="Q31" s="680">
        <f t="shared" si="1"/>
        <v>5</v>
      </c>
      <c r="U31"/>
      <c r="V31"/>
    </row>
    <row r="32" spans="3:22" x14ac:dyDescent="0.25">
      <c r="C32" s="3">
        <f t="shared" si="2"/>
        <v>2</v>
      </c>
      <c r="E32" s="334">
        <v>8.2000000000000003E-2</v>
      </c>
      <c r="F32" s="334">
        <v>8.8999999999999996E-2</v>
      </c>
      <c r="G32" s="13"/>
      <c r="H32" s="147">
        <v>2.08</v>
      </c>
      <c r="I32" s="147">
        <v>2.2599999999999998</v>
      </c>
      <c r="K32" s="147" t="str">
        <f t="shared" si="3"/>
        <v>B089</v>
      </c>
      <c r="L32" s="43"/>
      <c r="M32" s="360" t="s">
        <v>259</v>
      </c>
      <c r="N32" s="358" t="s">
        <v>260</v>
      </c>
      <c r="O32" s="358" t="str">
        <f t="shared" si="0"/>
        <v>.082" - .089"</v>
      </c>
      <c r="P32" s="358" t="str">
        <f t="shared" si="4"/>
        <v>2.08 - 2.26mm</v>
      </c>
      <c r="Q32" s="678">
        <f t="shared" si="1"/>
        <v>5</v>
      </c>
      <c r="U32"/>
      <c r="V32"/>
    </row>
    <row r="33" spans="3:22" x14ac:dyDescent="0.25">
      <c r="C33" s="3">
        <f t="shared" si="2"/>
        <v>2</v>
      </c>
      <c r="E33" s="334">
        <v>8.8999999999999996E-2</v>
      </c>
      <c r="F33" s="334">
        <v>9.6000000000000002E-2</v>
      </c>
      <c r="G33" s="13"/>
      <c r="H33" s="147">
        <v>2.2599999999999998</v>
      </c>
      <c r="I33" s="147">
        <v>2.44</v>
      </c>
      <c r="K33" s="147" t="str">
        <f t="shared" si="3"/>
        <v>B096</v>
      </c>
      <c r="L33" s="43"/>
      <c r="M33" s="198" t="s">
        <v>261</v>
      </c>
      <c r="N33" s="221" t="s">
        <v>262</v>
      </c>
      <c r="O33" s="221" t="str">
        <f t="shared" si="0"/>
        <v>.089" - .096"</v>
      </c>
      <c r="P33" s="221" t="str">
        <f t="shared" si="4"/>
        <v>2.26 - 2.44mm</v>
      </c>
      <c r="Q33" s="244">
        <f t="shared" si="1"/>
        <v>5</v>
      </c>
      <c r="U33"/>
      <c r="V33"/>
    </row>
    <row r="34" spans="3:22" x14ac:dyDescent="0.25">
      <c r="C34" s="3">
        <f t="shared" si="2"/>
        <v>2</v>
      </c>
      <c r="E34" s="334">
        <v>9.6000000000000002E-2</v>
      </c>
      <c r="F34" s="334">
        <v>0.10299999999999999</v>
      </c>
      <c r="G34" s="13"/>
      <c r="H34" s="147">
        <v>2.44</v>
      </c>
      <c r="I34" s="147">
        <v>2.62</v>
      </c>
      <c r="K34" s="147" t="str">
        <f t="shared" si="3"/>
        <v>B103</v>
      </c>
      <c r="L34" s="43"/>
      <c r="M34" s="360" t="s">
        <v>263</v>
      </c>
      <c r="N34" s="358" t="s">
        <v>264</v>
      </c>
      <c r="O34" s="358" t="str">
        <f t="shared" si="0"/>
        <v>.096" - .103"</v>
      </c>
      <c r="P34" s="358" t="str">
        <f t="shared" si="4"/>
        <v>2.44 - 2.62mm</v>
      </c>
      <c r="Q34" s="678">
        <f t="shared" si="1"/>
        <v>5</v>
      </c>
    </row>
    <row r="35" spans="3:22" x14ac:dyDescent="0.25">
      <c r="C35" s="3">
        <f t="shared" si="2"/>
        <v>2</v>
      </c>
      <c r="E35" s="334">
        <v>0.10299999999999999</v>
      </c>
      <c r="F35" s="334">
        <v>0.11</v>
      </c>
      <c r="G35" s="13"/>
      <c r="H35" s="147">
        <v>2.62</v>
      </c>
      <c r="I35" s="147">
        <v>2.79</v>
      </c>
      <c r="K35" s="147" t="str">
        <f t="shared" si="3"/>
        <v>B110</v>
      </c>
      <c r="L35" s="43"/>
      <c r="M35" s="198" t="s">
        <v>265</v>
      </c>
      <c r="N35" s="221" t="s">
        <v>266</v>
      </c>
      <c r="O35" s="221" t="str">
        <f t="shared" si="0"/>
        <v>.103" - .110"</v>
      </c>
      <c r="P35" s="221" t="str">
        <f t="shared" si="4"/>
        <v>2.62 - 2.79mm</v>
      </c>
      <c r="Q35" s="244">
        <f t="shared" si="1"/>
        <v>5</v>
      </c>
    </row>
    <row r="36" spans="3:22" x14ac:dyDescent="0.25">
      <c r="C36" s="3">
        <f t="shared" si="2"/>
        <v>2</v>
      </c>
      <c r="E36" s="334">
        <v>0.11</v>
      </c>
      <c r="F36" s="334">
        <v>0.11700000000000001</v>
      </c>
      <c r="G36" s="13"/>
      <c r="H36" s="147">
        <v>2.79</v>
      </c>
      <c r="I36" s="147">
        <v>2.97</v>
      </c>
      <c r="K36" s="147" t="str">
        <f t="shared" si="3"/>
        <v>B117</v>
      </c>
      <c r="L36" s="43"/>
      <c r="M36" s="360" t="s">
        <v>267</v>
      </c>
      <c r="N36" s="358" t="s">
        <v>268</v>
      </c>
      <c r="O36" s="358" t="str">
        <f t="shared" si="0"/>
        <v>.110" - .117"</v>
      </c>
      <c r="P36" s="358" t="str">
        <f t="shared" si="4"/>
        <v>2.79 - 2.97mm</v>
      </c>
      <c r="Q36" s="678">
        <f t="shared" si="1"/>
        <v>5</v>
      </c>
    </row>
    <row r="37" spans="3:22" x14ac:dyDescent="0.25">
      <c r="C37" s="3">
        <f t="shared" si="2"/>
        <v>2</v>
      </c>
      <c r="E37" s="334">
        <v>0.11700000000000001</v>
      </c>
      <c r="F37" s="334">
        <v>0.124</v>
      </c>
      <c r="G37" s="13"/>
      <c r="H37" s="147">
        <v>2.97</v>
      </c>
      <c r="I37" s="147">
        <v>3.15</v>
      </c>
      <c r="K37" s="147" t="str">
        <f t="shared" si="3"/>
        <v>B124</v>
      </c>
      <c r="L37" s="43"/>
      <c r="M37" s="198" t="s">
        <v>269</v>
      </c>
      <c r="N37" s="221" t="s">
        <v>270</v>
      </c>
      <c r="O37" s="221" t="str">
        <f t="shared" si="0"/>
        <v>.117" - .124"</v>
      </c>
      <c r="P37" s="221" t="str">
        <f t="shared" si="4"/>
        <v>2.97 - 3.15mm</v>
      </c>
      <c r="Q37" s="244">
        <f t="shared" si="1"/>
        <v>5</v>
      </c>
    </row>
    <row r="38" spans="3:22" x14ac:dyDescent="0.25">
      <c r="C38" s="3">
        <f t="shared" si="2"/>
        <v>2</v>
      </c>
      <c r="E38" s="334">
        <v>0.124</v>
      </c>
      <c r="F38" s="334">
        <v>0.13100000000000001</v>
      </c>
      <c r="G38" s="13"/>
      <c r="H38" s="147">
        <v>3.15</v>
      </c>
      <c r="I38" s="147">
        <v>3.33</v>
      </c>
      <c r="K38" s="147" t="str">
        <f t="shared" si="3"/>
        <v>B131</v>
      </c>
      <c r="L38" s="43"/>
      <c r="M38" s="360" t="s">
        <v>271</v>
      </c>
      <c r="N38" s="358" t="s">
        <v>272</v>
      </c>
      <c r="O38" s="358" t="str">
        <f t="shared" si="0"/>
        <v>.124" - .131"</v>
      </c>
      <c r="P38" s="358" t="str">
        <f t="shared" si="4"/>
        <v>3.15 - 3.33mm</v>
      </c>
      <c r="Q38" s="678">
        <f t="shared" si="1"/>
        <v>5</v>
      </c>
    </row>
    <row r="39" spans="3:22" x14ac:dyDescent="0.25">
      <c r="C39" s="3">
        <f t="shared" si="2"/>
        <v>2</v>
      </c>
      <c r="E39" s="334">
        <v>0.13100000000000001</v>
      </c>
      <c r="F39" s="334">
        <v>0.13800000000000001</v>
      </c>
      <c r="G39" s="13"/>
      <c r="H39" s="147">
        <v>3.33</v>
      </c>
      <c r="I39" s="147">
        <v>3.51</v>
      </c>
      <c r="K39" s="147" t="str">
        <f t="shared" si="3"/>
        <v>B138</v>
      </c>
      <c r="L39" s="43"/>
      <c r="M39" s="198" t="s">
        <v>273</v>
      </c>
      <c r="N39" s="221" t="s">
        <v>274</v>
      </c>
      <c r="O39" s="221" t="str">
        <f t="shared" si="0"/>
        <v>.131" - .138"</v>
      </c>
      <c r="P39" s="221" t="str">
        <f t="shared" si="4"/>
        <v>3.33 - 3.51mm</v>
      </c>
      <c r="Q39" s="244">
        <f t="shared" si="1"/>
        <v>5</v>
      </c>
    </row>
    <row r="40" spans="3:22" x14ac:dyDescent="0.25">
      <c r="C40" s="3">
        <f t="shared" si="2"/>
        <v>2</v>
      </c>
      <c r="E40" s="334">
        <v>0.13800000000000001</v>
      </c>
      <c r="F40" s="334">
        <v>0.14499999999999999</v>
      </c>
      <c r="G40" s="13"/>
      <c r="H40" s="147">
        <v>3.51</v>
      </c>
      <c r="I40" s="147">
        <v>3.68</v>
      </c>
      <c r="K40" s="147" t="str">
        <f t="shared" si="3"/>
        <v>B145</v>
      </c>
      <c r="L40" s="43"/>
      <c r="M40" s="360" t="s">
        <v>275</v>
      </c>
      <c r="N40" s="358" t="s">
        <v>276</v>
      </c>
      <c r="O40" s="358" t="str">
        <f t="shared" si="0"/>
        <v>.138" - .145"</v>
      </c>
      <c r="P40" s="358" t="str">
        <f t="shared" si="4"/>
        <v>3.51 - 3.68mm</v>
      </c>
      <c r="Q40" s="678">
        <f t="shared" si="1"/>
        <v>5</v>
      </c>
    </row>
    <row r="41" spans="3:22" x14ac:dyDescent="0.25">
      <c r="C41" s="3">
        <f t="shared" si="2"/>
        <v>2</v>
      </c>
      <c r="E41" s="334">
        <v>0.14499999999999999</v>
      </c>
      <c r="F41" s="334">
        <v>0.152</v>
      </c>
      <c r="G41" s="13"/>
      <c r="H41" s="147">
        <v>3.68</v>
      </c>
      <c r="I41" s="147">
        <v>3.86</v>
      </c>
      <c r="K41" s="750" t="str">
        <f t="shared" si="3"/>
        <v>B152</v>
      </c>
      <c r="M41" s="198" t="s">
        <v>277</v>
      </c>
      <c r="N41" s="221" t="s">
        <v>278</v>
      </c>
      <c r="O41" s="221" t="str">
        <f t="shared" si="0"/>
        <v>.145" - .152"</v>
      </c>
      <c r="P41" s="221" t="str">
        <f t="shared" si="4"/>
        <v>3.68 - 3.86mm</v>
      </c>
      <c r="Q41" s="244">
        <f t="shared" si="1"/>
        <v>5</v>
      </c>
    </row>
    <row r="42" spans="3:22" x14ac:dyDescent="0.25">
      <c r="C42" s="3">
        <f t="shared" si="2"/>
        <v>2</v>
      </c>
      <c r="E42" s="334">
        <v>0.152</v>
      </c>
      <c r="F42" s="334">
        <v>0.159</v>
      </c>
      <c r="G42" s="13"/>
      <c r="H42" s="147">
        <v>3.86</v>
      </c>
      <c r="I42" s="147">
        <v>4.04</v>
      </c>
      <c r="K42" s="750" t="str">
        <f t="shared" si="3"/>
        <v>B159</v>
      </c>
      <c r="M42" s="360" t="s">
        <v>279</v>
      </c>
      <c r="N42" s="358" t="s">
        <v>280</v>
      </c>
      <c r="O42" s="358" t="str">
        <f t="shared" si="0"/>
        <v>.152" - .159"</v>
      </c>
      <c r="P42" s="358" t="str">
        <f t="shared" si="4"/>
        <v>3.86 - 4.04mm</v>
      </c>
      <c r="Q42" s="678">
        <f t="shared" si="1"/>
        <v>5</v>
      </c>
    </row>
    <row r="43" spans="3:22" x14ac:dyDescent="0.25">
      <c r="C43" s="3">
        <f t="shared" si="2"/>
        <v>2</v>
      </c>
      <c r="E43" s="334">
        <v>0.159</v>
      </c>
      <c r="F43" s="334">
        <v>0.16600000000000001</v>
      </c>
      <c r="G43" s="13"/>
      <c r="H43" s="147">
        <v>4.04</v>
      </c>
      <c r="I43" s="147">
        <v>4.22</v>
      </c>
      <c r="K43" s="147" t="str">
        <f t="shared" si="3"/>
        <v>B166</v>
      </c>
      <c r="M43" s="198" t="s">
        <v>281</v>
      </c>
      <c r="N43" s="221" t="s">
        <v>282</v>
      </c>
      <c r="O43" s="221" t="str">
        <f t="shared" si="0"/>
        <v>.159" - .166"</v>
      </c>
      <c r="P43" s="221" t="str">
        <f t="shared" si="4"/>
        <v>4.04 - 4.22mm</v>
      </c>
      <c r="Q43" s="244">
        <f t="shared" si="1"/>
        <v>5</v>
      </c>
    </row>
    <row r="44" spans="3:22" x14ac:dyDescent="0.25">
      <c r="C44" s="3">
        <f t="shared" si="2"/>
        <v>2</v>
      </c>
      <c r="E44" s="334">
        <v>0.16600000000000001</v>
      </c>
      <c r="F44" s="334">
        <v>0.17299999999999999</v>
      </c>
      <c r="G44" s="13"/>
      <c r="H44" s="147">
        <v>4.22</v>
      </c>
      <c r="I44" s="147">
        <v>4.3899999999999997</v>
      </c>
      <c r="K44" s="147" t="str">
        <f t="shared" si="3"/>
        <v>B173</v>
      </c>
      <c r="M44" s="360" t="s">
        <v>283</v>
      </c>
      <c r="N44" s="358" t="s">
        <v>284</v>
      </c>
      <c r="O44" s="358" t="str">
        <f t="shared" si="0"/>
        <v>.166" - .173"</v>
      </c>
      <c r="P44" s="358" t="str">
        <f t="shared" si="4"/>
        <v>4.22 - 4.39mm</v>
      </c>
      <c r="Q44" s="678">
        <f t="shared" si="1"/>
        <v>5</v>
      </c>
    </row>
    <row r="45" spans="3:22" ht="16.5" thickBot="1" x14ac:dyDescent="0.3">
      <c r="C45" s="746">
        <f t="shared" si="2"/>
        <v>2</v>
      </c>
      <c r="E45" s="676">
        <v>0.17299999999999999</v>
      </c>
      <c r="F45" s="676">
        <v>0.18</v>
      </c>
      <c r="G45" s="13"/>
      <c r="H45" s="458">
        <v>4.3899999999999997</v>
      </c>
      <c r="I45" s="458">
        <v>4.57</v>
      </c>
      <c r="K45" s="458" t="str">
        <f t="shared" si="3"/>
        <v>B180</v>
      </c>
      <c r="M45" s="451" t="s">
        <v>285</v>
      </c>
      <c r="N45" s="452" t="s">
        <v>286</v>
      </c>
      <c r="O45" s="452" t="str">
        <f t="shared" si="0"/>
        <v>.173" - .180"</v>
      </c>
      <c r="P45" s="452" t="str">
        <f t="shared" si="4"/>
        <v>4.39 - 4.57mm</v>
      </c>
      <c r="Q45" s="681">
        <f t="shared" si="1"/>
        <v>5</v>
      </c>
    </row>
    <row r="46" spans="3:22" x14ac:dyDescent="0.25">
      <c r="C46" s="3">
        <f t="shared" si="2"/>
        <v>3</v>
      </c>
      <c r="E46" s="334">
        <v>0.18</v>
      </c>
      <c r="F46" s="334">
        <v>0.188</v>
      </c>
      <c r="G46" s="13"/>
      <c r="H46" s="147">
        <v>4.57</v>
      </c>
      <c r="I46" s="147">
        <v>4.78</v>
      </c>
      <c r="K46" s="147" t="str">
        <f t="shared" si="3"/>
        <v>B188</v>
      </c>
      <c r="M46" s="453" t="s">
        <v>287</v>
      </c>
      <c r="N46" s="454" t="s">
        <v>288</v>
      </c>
      <c r="O46" s="454" t="str">
        <f t="shared" si="0"/>
        <v>.180" - .188"</v>
      </c>
      <c r="P46" s="454" t="str">
        <f t="shared" si="4"/>
        <v>4.57 - 4.78mm</v>
      </c>
      <c r="Q46" s="682">
        <f t="shared" si="1"/>
        <v>5</v>
      </c>
    </row>
    <row r="47" spans="3:22" x14ac:dyDescent="0.25">
      <c r="C47" s="3">
        <f t="shared" si="2"/>
        <v>3</v>
      </c>
      <c r="E47" s="334">
        <v>0.188</v>
      </c>
      <c r="F47" s="334">
        <v>0.19600000000000001</v>
      </c>
      <c r="G47" s="13"/>
      <c r="H47" s="147">
        <v>4.78</v>
      </c>
      <c r="I47" s="147">
        <v>4.9800000000000004</v>
      </c>
      <c r="K47" s="147" t="str">
        <f t="shared" si="3"/>
        <v>B196</v>
      </c>
      <c r="M47" s="198" t="s">
        <v>289</v>
      </c>
      <c r="N47" s="221" t="s">
        <v>290</v>
      </c>
      <c r="O47" s="221" t="str">
        <f t="shared" si="0"/>
        <v>.188" - .196"</v>
      </c>
      <c r="P47" s="221" t="str">
        <f t="shared" si="4"/>
        <v>4.78 - 4.98mm</v>
      </c>
      <c r="Q47" s="244">
        <f t="shared" si="1"/>
        <v>5</v>
      </c>
    </row>
    <row r="48" spans="3:22" x14ac:dyDescent="0.25">
      <c r="C48" s="3">
        <f t="shared" si="2"/>
        <v>3</v>
      </c>
      <c r="E48" s="334">
        <v>0.19600000000000001</v>
      </c>
      <c r="F48" s="334">
        <v>0.20399999999999999</v>
      </c>
      <c r="G48" s="13"/>
      <c r="H48" s="147">
        <v>4.9800000000000004</v>
      </c>
      <c r="I48" s="147">
        <v>5.18</v>
      </c>
      <c r="K48" s="147" t="str">
        <f t="shared" si="3"/>
        <v>B204</v>
      </c>
      <c r="M48" s="360" t="s">
        <v>291</v>
      </c>
      <c r="N48" s="358" t="s">
        <v>292</v>
      </c>
      <c r="O48" s="358" t="str">
        <f t="shared" si="0"/>
        <v>.196" - .204"</v>
      </c>
      <c r="P48" s="358" t="str">
        <f t="shared" si="4"/>
        <v>4.98 - 5.18mm</v>
      </c>
      <c r="Q48" s="678">
        <f t="shared" si="1"/>
        <v>5</v>
      </c>
    </row>
    <row r="49" spans="1:17" x14ac:dyDescent="0.25">
      <c r="C49" s="3">
        <f t="shared" si="2"/>
        <v>3</v>
      </c>
      <c r="E49" s="334">
        <v>0.20399999999999999</v>
      </c>
      <c r="F49" s="334">
        <v>0.21199999999999999</v>
      </c>
      <c r="G49" s="13"/>
      <c r="H49" s="147">
        <v>5.18</v>
      </c>
      <c r="I49" s="147">
        <v>5.38</v>
      </c>
      <c r="K49" s="147" t="str">
        <f t="shared" si="3"/>
        <v>B212</v>
      </c>
      <c r="M49" s="198" t="s">
        <v>293</v>
      </c>
      <c r="N49" s="221" t="s">
        <v>294</v>
      </c>
      <c r="O49" s="221" t="str">
        <f t="shared" si="0"/>
        <v>.204" - .212"</v>
      </c>
      <c r="P49" s="221" t="str">
        <f t="shared" si="4"/>
        <v>5.18 - 5.38mm</v>
      </c>
      <c r="Q49" s="244">
        <f t="shared" ref="Q49:Q80" si="5">_xlfn.XLOOKUP($C49,$E$11:$E$12,$O$11:$O$12,"",-1)</f>
        <v>5</v>
      </c>
    </row>
    <row r="50" spans="1:17" x14ac:dyDescent="0.25">
      <c r="C50" s="3">
        <f t="shared" si="2"/>
        <v>3</v>
      </c>
      <c r="E50" s="334">
        <v>0.21199999999999999</v>
      </c>
      <c r="F50" s="334">
        <v>0.22</v>
      </c>
      <c r="G50" s="13"/>
      <c r="H50" s="147">
        <v>5.38</v>
      </c>
      <c r="I50" s="147">
        <v>5.59</v>
      </c>
      <c r="K50" s="147" t="str">
        <f t="shared" si="3"/>
        <v>B220</v>
      </c>
      <c r="M50" s="360" t="s">
        <v>295</v>
      </c>
      <c r="N50" s="358" t="s">
        <v>296</v>
      </c>
      <c r="O50" s="358" t="str">
        <f t="shared" si="0"/>
        <v>.212" - .220"</v>
      </c>
      <c r="P50" s="358" t="str">
        <f t="shared" si="4"/>
        <v>5.38 - 5.59mm</v>
      </c>
      <c r="Q50" s="678">
        <f t="shared" si="5"/>
        <v>5</v>
      </c>
    </row>
    <row r="51" spans="1:17" x14ac:dyDescent="0.25">
      <c r="C51" s="3">
        <f t="shared" si="2"/>
        <v>3</v>
      </c>
      <c r="E51" s="334">
        <v>0.22</v>
      </c>
      <c r="F51" s="334">
        <v>0.22800000000000001</v>
      </c>
      <c r="G51" s="13"/>
      <c r="H51" s="147">
        <v>5.59</v>
      </c>
      <c r="I51" s="147">
        <v>5.79</v>
      </c>
      <c r="K51" s="147" t="str">
        <f t="shared" si="3"/>
        <v>B228</v>
      </c>
      <c r="M51" s="198" t="s">
        <v>297</v>
      </c>
      <c r="N51" s="221" t="s">
        <v>298</v>
      </c>
      <c r="O51" s="221" t="str">
        <f t="shared" si="0"/>
        <v>.220" - .228"</v>
      </c>
      <c r="P51" s="221" t="str">
        <f t="shared" si="4"/>
        <v>5.59 - 5.79mm</v>
      </c>
      <c r="Q51" s="244">
        <f t="shared" si="5"/>
        <v>5</v>
      </c>
    </row>
    <row r="52" spans="1:17" x14ac:dyDescent="0.25">
      <c r="C52" s="3">
        <f t="shared" si="2"/>
        <v>3</v>
      </c>
      <c r="E52" s="334">
        <v>0.22800000000000001</v>
      </c>
      <c r="F52" s="334">
        <v>0.23599999999999999</v>
      </c>
      <c r="G52" s="13"/>
      <c r="H52" s="147">
        <v>5.79</v>
      </c>
      <c r="I52" s="147">
        <v>5.99</v>
      </c>
      <c r="K52" s="147" t="str">
        <f t="shared" si="3"/>
        <v>B236</v>
      </c>
      <c r="M52" s="360" t="s">
        <v>299</v>
      </c>
      <c r="N52" s="358" t="s">
        <v>300</v>
      </c>
      <c r="O52" s="358" t="str">
        <f t="shared" si="0"/>
        <v>.228" - .236"</v>
      </c>
      <c r="P52" s="358" t="str">
        <f t="shared" si="4"/>
        <v>5.79 - 5.99mm</v>
      </c>
      <c r="Q52" s="678">
        <f t="shared" si="5"/>
        <v>5</v>
      </c>
    </row>
    <row r="53" spans="1:17" x14ac:dyDescent="0.25">
      <c r="C53" s="3">
        <f t="shared" si="2"/>
        <v>3</v>
      </c>
      <c r="E53" s="334">
        <v>0.23599999999999999</v>
      </c>
      <c r="F53" s="334">
        <v>0.24399999999999999</v>
      </c>
      <c r="G53" s="13"/>
      <c r="H53" s="147">
        <v>5.99</v>
      </c>
      <c r="I53" s="147">
        <v>6.2</v>
      </c>
      <c r="K53" s="750" t="str">
        <f t="shared" si="3"/>
        <v>B244</v>
      </c>
      <c r="M53" s="198" t="s">
        <v>301</v>
      </c>
      <c r="N53" s="221" t="s">
        <v>302</v>
      </c>
      <c r="O53" s="221" t="str">
        <f t="shared" si="0"/>
        <v>.236" - .244"</v>
      </c>
      <c r="P53" s="221" t="str">
        <f t="shared" si="4"/>
        <v>5.99 - 6.20mm</v>
      </c>
      <c r="Q53" s="244">
        <f t="shared" si="5"/>
        <v>5</v>
      </c>
    </row>
    <row r="54" spans="1:17" x14ac:dyDescent="0.25">
      <c r="A54" s="50"/>
      <c r="B54" s="50"/>
      <c r="C54" s="3">
        <f t="shared" si="2"/>
        <v>3</v>
      </c>
      <c r="D54" s="50"/>
      <c r="E54" s="334">
        <v>0.24399999999999999</v>
      </c>
      <c r="F54" s="334">
        <v>0.252</v>
      </c>
      <c r="G54" s="13"/>
      <c r="H54" s="147">
        <v>6.2</v>
      </c>
      <c r="I54" s="147">
        <v>6.4</v>
      </c>
      <c r="K54" s="750" t="str">
        <f t="shared" si="3"/>
        <v>B252</v>
      </c>
      <c r="M54" s="360" t="s">
        <v>303</v>
      </c>
      <c r="N54" s="358" t="s">
        <v>304</v>
      </c>
      <c r="O54" s="358" t="str">
        <f t="shared" si="0"/>
        <v>.244" - .252"</v>
      </c>
      <c r="P54" s="358" t="str">
        <f t="shared" si="4"/>
        <v>6.20 - 6.40mm</v>
      </c>
      <c r="Q54" s="678">
        <f t="shared" si="5"/>
        <v>5</v>
      </c>
    </row>
    <row r="55" spans="1:17" x14ac:dyDescent="0.25">
      <c r="C55" s="3">
        <f t="shared" si="2"/>
        <v>3</v>
      </c>
      <c r="E55" s="334">
        <v>0.252</v>
      </c>
      <c r="F55" s="334">
        <v>0.26100000000000001</v>
      </c>
      <c r="G55" s="13"/>
      <c r="H55" s="147">
        <v>6.4</v>
      </c>
      <c r="I55" s="147">
        <v>6.63</v>
      </c>
      <c r="K55" s="147" t="str">
        <f t="shared" si="3"/>
        <v>B261</v>
      </c>
      <c r="M55" s="198" t="s">
        <v>305</v>
      </c>
      <c r="N55" s="221" t="s">
        <v>306</v>
      </c>
      <c r="O55" s="221" t="str">
        <f t="shared" si="0"/>
        <v>.252" - .261"</v>
      </c>
      <c r="P55" s="221" t="str">
        <f t="shared" si="4"/>
        <v>6.40 - 6.63mm</v>
      </c>
      <c r="Q55" s="244">
        <f t="shared" si="5"/>
        <v>5</v>
      </c>
    </row>
    <row r="56" spans="1:17" x14ac:dyDescent="0.25">
      <c r="C56" s="3">
        <f t="shared" si="2"/>
        <v>3</v>
      </c>
      <c r="E56" s="334">
        <v>0.26100000000000001</v>
      </c>
      <c r="F56" s="334">
        <v>0.27100000000000002</v>
      </c>
      <c r="G56" s="13"/>
      <c r="H56" s="147">
        <v>6.63</v>
      </c>
      <c r="I56" s="147">
        <v>6.88</v>
      </c>
      <c r="K56" s="147" t="str">
        <f t="shared" si="3"/>
        <v>B271</v>
      </c>
      <c r="M56" s="360" t="s">
        <v>307</v>
      </c>
      <c r="N56" s="358" t="s">
        <v>308</v>
      </c>
      <c r="O56" s="358" t="str">
        <f t="shared" si="0"/>
        <v>.261" - .271"</v>
      </c>
      <c r="P56" s="358" t="str">
        <f t="shared" si="4"/>
        <v>6.63 - 6.88mm</v>
      </c>
      <c r="Q56" s="678">
        <f t="shared" si="5"/>
        <v>5</v>
      </c>
    </row>
    <row r="57" spans="1:17" ht="16.5" thickBot="1" x14ac:dyDescent="0.3">
      <c r="C57" s="746">
        <f t="shared" si="2"/>
        <v>3</v>
      </c>
      <c r="E57" s="676">
        <v>0.27100000000000002</v>
      </c>
      <c r="F57" s="676">
        <v>0.28100000000000003</v>
      </c>
      <c r="G57" s="13"/>
      <c r="H57" s="458">
        <v>6.88</v>
      </c>
      <c r="I57" s="458">
        <v>7.14</v>
      </c>
      <c r="K57" s="458" t="str">
        <f t="shared" si="3"/>
        <v>B281</v>
      </c>
      <c r="M57" s="451" t="s">
        <v>309</v>
      </c>
      <c r="N57" s="452" t="s">
        <v>310</v>
      </c>
      <c r="O57" s="452" t="str">
        <f t="shared" si="0"/>
        <v>.271" - .281"</v>
      </c>
      <c r="P57" s="452" t="str">
        <f t="shared" si="4"/>
        <v>6.88 - 7.14mm</v>
      </c>
      <c r="Q57" s="681">
        <f t="shared" si="5"/>
        <v>5</v>
      </c>
    </row>
    <row r="58" spans="1:17" x14ac:dyDescent="0.25">
      <c r="C58" s="3">
        <f t="shared" si="2"/>
        <v>4</v>
      </c>
      <c r="E58" s="334">
        <v>0.28100000000000003</v>
      </c>
      <c r="F58" s="334">
        <v>0.29099999999999998</v>
      </c>
      <c r="G58" s="13"/>
      <c r="H58" s="147">
        <v>7.14</v>
      </c>
      <c r="I58" s="147">
        <v>7.39</v>
      </c>
      <c r="K58" s="147" t="str">
        <f t="shared" si="3"/>
        <v>B291</v>
      </c>
      <c r="M58" s="453" t="s">
        <v>311</v>
      </c>
      <c r="N58" s="454" t="s">
        <v>312</v>
      </c>
      <c r="O58" s="454" t="str">
        <f t="shared" si="0"/>
        <v>.281" - .291"</v>
      </c>
      <c r="P58" s="454" t="str">
        <f t="shared" si="4"/>
        <v>7.14 - 7.39mm</v>
      </c>
      <c r="Q58" s="682">
        <f t="shared" si="5"/>
        <v>5</v>
      </c>
    </row>
    <row r="59" spans="1:17" x14ac:dyDescent="0.25">
      <c r="C59" s="3">
        <f t="shared" si="2"/>
        <v>4</v>
      </c>
      <c r="E59" s="334">
        <v>0.29099999999999998</v>
      </c>
      <c r="F59" s="334">
        <v>0.30099999999999999</v>
      </c>
      <c r="G59" s="13"/>
      <c r="H59" s="147">
        <v>7.39</v>
      </c>
      <c r="I59" s="147">
        <v>7.65</v>
      </c>
      <c r="K59" s="147" t="str">
        <f t="shared" si="3"/>
        <v>B301</v>
      </c>
      <c r="M59" s="198" t="s">
        <v>313</v>
      </c>
      <c r="N59" s="221" t="s">
        <v>314</v>
      </c>
      <c r="O59" s="221" t="str">
        <f t="shared" si="0"/>
        <v>.291" - .301"</v>
      </c>
      <c r="P59" s="221" t="str">
        <f t="shared" si="4"/>
        <v>7.39 - 7.65mm</v>
      </c>
      <c r="Q59" s="244">
        <f t="shared" si="5"/>
        <v>5</v>
      </c>
    </row>
    <row r="60" spans="1:17" x14ac:dyDescent="0.25">
      <c r="C60" s="3">
        <f t="shared" si="2"/>
        <v>4</v>
      </c>
      <c r="E60" s="334">
        <v>0.30099999999999999</v>
      </c>
      <c r="F60" s="334">
        <v>0.311</v>
      </c>
      <c r="G60" s="13"/>
      <c r="H60" s="147">
        <v>7.65</v>
      </c>
      <c r="I60" s="147">
        <v>7.9</v>
      </c>
      <c r="K60" s="147" t="str">
        <f t="shared" si="3"/>
        <v>B311</v>
      </c>
      <c r="M60" s="360" t="s">
        <v>315</v>
      </c>
      <c r="N60" s="358" t="s">
        <v>316</v>
      </c>
      <c r="O60" s="358" t="str">
        <f t="shared" si="0"/>
        <v>.301" - .311"</v>
      </c>
      <c r="P60" s="358" t="str">
        <f t="shared" si="4"/>
        <v>7.65 - 7.90mm</v>
      </c>
      <c r="Q60" s="678">
        <f t="shared" si="5"/>
        <v>5</v>
      </c>
    </row>
    <row r="61" spans="1:17" x14ac:dyDescent="0.25">
      <c r="C61" s="3">
        <f t="shared" si="2"/>
        <v>4</v>
      </c>
      <c r="E61" s="334">
        <v>0.311</v>
      </c>
      <c r="F61" s="334">
        <v>0.32100000000000001</v>
      </c>
      <c r="G61" s="13"/>
      <c r="H61" s="147">
        <v>7.9</v>
      </c>
      <c r="I61" s="147">
        <v>8.15</v>
      </c>
      <c r="K61" s="147" t="str">
        <f t="shared" si="3"/>
        <v>B321</v>
      </c>
      <c r="M61" s="198" t="s">
        <v>317</v>
      </c>
      <c r="N61" s="221" t="s">
        <v>318</v>
      </c>
      <c r="O61" s="221" t="str">
        <f t="shared" si="0"/>
        <v>.311" - .321"</v>
      </c>
      <c r="P61" s="221" t="str">
        <f t="shared" si="4"/>
        <v>7.90 - 8.15mm</v>
      </c>
      <c r="Q61" s="244">
        <f t="shared" si="5"/>
        <v>5</v>
      </c>
    </row>
    <row r="62" spans="1:17" x14ac:dyDescent="0.25">
      <c r="C62" s="3">
        <f t="shared" si="2"/>
        <v>4</v>
      </c>
      <c r="E62" s="334">
        <v>0.32100000000000001</v>
      </c>
      <c r="F62" s="334">
        <v>0.33100000000000002</v>
      </c>
      <c r="G62" s="13"/>
      <c r="H62" s="147">
        <v>8.15</v>
      </c>
      <c r="I62" s="147">
        <v>8.41</v>
      </c>
      <c r="K62" s="147" t="str">
        <f t="shared" si="3"/>
        <v>B331</v>
      </c>
      <c r="M62" s="360" t="s">
        <v>319</v>
      </c>
      <c r="N62" s="358" t="s">
        <v>320</v>
      </c>
      <c r="O62" s="358" t="str">
        <f t="shared" si="0"/>
        <v>.321" - .331"</v>
      </c>
      <c r="P62" s="358" t="str">
        <f t="shared" si="4"/>
        <v>8.15 - 8.41mm</v>
      </c>
      <c r="Q62" s="678">
        <f t="shared" si="5"/>
        <v>5</v>
      </c>
    </row>
    <row r="63" spans="1:17" x14ac:dyDescent="0.25">
      <c r="C63" s="3">
        <f t="shared" si="2"/>
        <v>4</v>
      </c>
      <c r="E63" s="334">
        <v>0.33100000000000002</v>
      </c>
      <c r="F63" s="334">
        <v>0.34100000000000003</v>
      </c>
      <c r="G63" s="13"/>
      <c r="H63" s="147">
        <v>8.41</v>
      </c>
      <c r="I63" s="147">
        <v>8.66</v>
      </c>
      <c r="K63" s="147" t="str">
        <f t="shared" si="3"/>
        <v>B341</v>
      </c>
      <c r="M63" s="198" t="s">
        <v>321</v>
      </c>
      <c r="N63" s="221" t="s">
        <v>322</v>
      </c>
      <c r="O63" s="221" t="str">
        <f t="shared" si="0"/>
        <v>.331" - .341"</v>
      </c>
      <c r="P63" s="221" t="str">
        <f t="shared" si="4"/>
        <v>8.41 - 8.66mm</v>
      </c>
      <c r="Q63" s="244">
        <f t="shared" si="5"/>
        <v>5</v>
      </c>
    </row>
    <row r="64" spans="1:17" x14ac:dyDescent="0.25">
      <c r="C64" s="3">
        <f t="shared" si="2"/>
        <v>4</v>
      </c>
      <c r="E64" s="334">
        <v>0.34100000000000003</v>
      </c>
      <c r="F64" s="334">
        <v>0.35099999999999998</v>
      </c>
      <c r="G64" s="13"/>
      <c r="H64" s="147">
        <v>8.66</v>
      </c>
      <c r="I64" s="147">
        <v>8.92</v>
      </c>
      <c r="K64" s="147" t="str">
        <f t="shared" si="3"/>
        <v>B351</v>
      </c>
      <c r="M64" s="360" t="s">
        <v>323</v>
      </c>
      <c r="N64" s="358" t="s">
        <v>324</v>
      </c>
      <c r="O64" s="358" t="str">
        <f t="shared" si="0"/>
        <v>.341" - .351"</v>
      </c>
      <c r="P64" s="358" t="str">
        <f t="shared" si="4"/>
        <v>8.66 - 8.92mm</v>
      </c>
      <c r="Q64" s="678">
        <f t="shared" si="5"/>
        <v>5</v>
      </c>
    </row>
    <row r="65" spans="3:17" x14ac:dyDescent="0.25">
      <c r="C65" s="3">
        <f t="shared" si="2"/>
        <v>4</v>
      </c>
      <c r="E65" s="334">
        <v>0.35099999999999998</v>
      </c>
      <c r="F65" s="334">
        <v>0.36099999999999999</v>
      </c>
      <c r="G65" s="13"/>
      <c r="H65" s="147">
        <v>8.92</v>
      </c>
      <c r="I65" s="147">
        <v>9.17</v>
      </c>
      <c r="K65" s="147" t="str">
        <f t="shared" si="3"/>
        <v>B361</v>
      </c>
      <c r="M65" s="198" t="s">
        <v>325</v>
      </c>
      <c r="N65" s="221" t="s">
        <v>326</v>
      </c>
      <c r="O65" s="221" t="str">
        <f t="shared" si="0"/>
        <v>.351" - .361"</v>
      </c>
      <c r="P65" s="221" t="str">
        <f t="shared" si="4"/>
        <v>8.92 - 9.17mm</v>
      </c>
      <c r="Q65" s="244">
        <f t="shared" si="5"/>
        <v>5</v>
      </c>
    </row>
    <row r="66" spans="3:17" x14ac:dyDescent="0.25">
      <c r="C66" s="3">
        <f t="shared" si="2"/>
        <v>4</v>
      </c>
      <c r="E66" s="334">
        <v>0.36099999999999999</v>
      </c>
      <c r="F66" s="334">
        <v>0.371</v>
      </c>
      <c r="G66" s="13"/>
      <c r="H66" s="147">
        <v>9.17</v>
      </c>
      <c r="I66" s="147">
        <v>9.42</v>
      </c>
      <c r="K66" s="750" t="str">
        <f t="shared" si="3"/>
        <v>B371</v>
      </c>
      <c r="M66" s="360" t="s">
        <v>327</v>
      </c>
      <c r="N66" s="358" t="s">
        <v>328</v>
      </c>
      <c r="O66" s="358" t="str">
        <f t="shared" si="0"/>
        <v>.361" - .371"</v>
      </c>
      <c r="P66" s="358" t="str">
        <f t="shared" si="4"/>
        <v>9.17 - 9.42mm</v>
      </c>
      <c r="Q66" s="678">
        <f t="shared" si="5"/>
        <v>5</v>
      </c>
    </row>
    <row r="67" spans="3:17" x14ac:dyDescent="0.25">
      <c r="C67" s="3">
        <f t="shared" si="2"/>
        <v>4</v>
      </c>
      <c r="E67" s="334">
        <v>0.371</v>
      </c>
      <c r="F67" s="334">
        <v>0.38200000000000001</v>
      </c>
      <c r="G67" s="13"/>
      <c r="H67" s="147">
        <v>9.42</v>
      </c>
      <c r="I67" s="147">
        <v>9.6999999999999993</v>
      </c>
      <c r="K67" s="750" t="str">
        <f t="shared" si="3"/>
        <v>B382</v>
      </c>
      <c r="M67" s="198" t="s">
        <v>329</v>
      </c>
      <c r="N67" s="221" t="s">
        <v>330</v>
      </c>
      <c r="O67" s="221" t="str">
        <f t="shared" si="0"/>
        <v>.371" - .382"</v>
      </c>
      <c r="P67" s="221" t="str">
        <f t="shared" si="4"/>
        <v>9.42 - 9.70mm</v>
      </c>
      <c r="Q67" s="244">
        <f t="shared" si="5"/>
        <v>5</v>
      </c>
    </row>
    <row r="68" spans="3:17" x14ac:dyDescent="0.25">
      <c r="C68" s="3">
        <f t="shared" si="2"/>
        <v>4</v>
      </c>
      <c r="E68" s="334">
        <v>0.38200000000000001</v>
      </c>
      <c r="F68" s="334">
        <v>0.39400000000000002</v>
      </c>
      <c r="G68" s="13"/>
      <c r="H68" s="147">
        <v>9.6999999999999993</v>
      </c>
      <c r="I68" s="147">
        <v>10.01</v>
      </c>
      <c r="K68" s="147" t="str">
        <f t="shared" si="3"/>
        <v>B394</v>
      </c>
      <c r="M68" s="360" t="s">
        <v>331</v>
      </c>
      <c r="N68" s="358" t="s">
        <v>332</v>
      </c>
      <c r="O68" s="358" t="str">
        <f t="shared" si="0"/>
        <v>.382" - .394"</v>
      </c>
      <c r="P68" s="358" t="str">
        <f t="shared" si="4"/>
        <v>9.70 - 10.01mm</v>
      </c>
      <c r="Q68" s="678">
        <f t="shared" si="5"/>
        <v>5</v>
      </c>
    </row>
    <row r="69" spans="3:17" ht="16.5" thickBot="1" x14ac:dyDescent="0.3">
      <c r="C69" s="746">
        <f t="shared" si="2"/>
        <v>4</v>
      </c>
      <c r="E69" s="676">
        <v>0.39400000000000002</v>
      </c>
      <c r="F69" s="676">
        <v>0.40600000000000003</v>
      </c>
      <c r="G69" s="13"/>
      <c r="H69" s="458">
        <v>10.01</v>
      </c>
      <c r="I69" s="458">
        <v>10.31</v>
      </c>
      <c r="K69" s="458" t="str">
        <f t="shared" si="3"/>
        <v>B406</v>
      </c>
      <c r="M69" s="451" t="s">
        <v>333</v>
      </c>
      <c r="N69" s="452" t="s">
        <v>334</v>
      </c>
      <c r="O69" s="452" t="str">
        <f t="shared" si="0"/>
        <v>.394" - .406"</v>
      </c>
      <c r="P69" s="452" t="str">
        <f t="shared" si="4"/>
        <v>10.01 - 10.31mm</v>
      </c>
      <c r="Q69" s="681">
        <f t="shared" si="5"/>
        <v>5</v>
      </c>
    </row>
    <row r="70" spans="3:17" x14ac:dyDescent="0.25">
      <c r="C70" s="3">
        <f t="shared" si="2"/>
        <v>5</v>
      </c>
      <c r="E70" s="334">
        <v>0.40600000000000003</v>
      </c>
      <c r="F70" s="334">
        <v>0.42</v>
      </c>
      <c r="G70" s="13"/>
      <c r="H70" s="147">
        <v>10.31</v>
      </c>
      <c r="I70" s="147">
        <v>10.67</v>
      </c>
      <c r="K70" s="147" t="str">
        <f t="shared" si="3"/>
        <v>B420</v>
      </c>
      <c r="M70" s="229" t="s">
        <v>335</v>
      </c>
      <c r="N70" s="231" t="s">
        <v>336</v>
      </c>
      <c r="O70" s="231" t="str">
        <f t="shared" si="0"/>
        <v>.406" - .420"</v>
      </c>
      <c r="P70" s="231" t="str">
        <f t="shared" si="4"/>
        <v>10.31 - 10.67mm</v>
      </c>
      <c r="Q70" s="683">
        <f t="shared" si="5"/>
        <v>5</v>
      </c>
    </row>
    <row r="71" spans="3:17" x14ac:dyDescent="0.25">
      <c r="C71" s="3">
        <f t="shared" si="2"/>
        <v>5</v>
      </c>
      <c r="E71" s="334">
        <v>0.42</v>
      </c>
      <c r="F71" s="334">
        <v>0.435</v>
      </c>
      <c r="G71" s="13"/>
      <c r="H71" s="147">
        <v>10.67</v>
      </c>
      <c r="I71" s="147">
        <v>11.05</v>
      </c>
      <c r="K71" s="147" t="str">
        <f t="shared" si="3"/>
        <v>B435</v>
      </c>
      <c r="M71" s="198" t="s">
        <v>337</v>
      </c>
      <c r="N71" s="221" t="s">
        <v>338</v>
      </c>
      <c r="O71" s="221" t="str">
        <f t="shared" si="0"/>
        <v>.420" - .435"</v>
      </c>
      <c r="P71" s="221" t="str">
        <f t="shared" si="4"/>
        <v>10.67 - 11.05mm</v>
      </c>
      <c r="Q71" s="244">
        <f t="shared" si="5"/>
        <v>5</v>
      </c>
    </row>
    <row r="72" spans="3:17" x14ac:dyDescent="0.25">
      <c r="C72" s="3">
        <f t="shared" si="2"/>
        <v>5</v>
      </c>
      <c r="E72" s="334">
        <v>0.435</v>
      </c>
      <c r="F72" s="334">
        <v>0.45</v>
      </c>
      <c r="G72" s="13"/>
      <c r="H72" s="147">
        <v>11.05</v>
      </c>
      <c r="I72" s="147">
        <v>11.43</v>
      </c>
      <c r="K72" s="147" t="str">
        <f t="shared" si="3"/>
        <v>B450</v>
      </c>
      <c r="M72" s="360" t="s">
        <v>339</v>
      </c>
      <c r="N72" s="358" t="s">
        <v>340</v>
      </c>
      <c r="O72" s="358" t="str">
        <f t="shared" si="0"/>
        <v>.435" - .450"</v>
      </c>
      <c r="P72" s="358" t="str">
        <f t="shared" si="4"/>
        <v>11.05 - 11.43mm</v>
      </c>
      <c r="Q72" s="678">
        <f t="shared" si="5"/>
        <v>5</v>
      </c>
    </row>
    <row r="73" spans="3:17" x14ac:dyDescent="0.25">
      <c r="C73" s="3">
        <f t="shared" si="2"/>
        <v>5</v>
      </c>
      <c r="E73" s="334">
        <v>0.45</v>
      </c>
      <c r="F73" s="334">
        <v>0.46500000000000002</v>
      </c>
      <c r="G73" s="13"/>
      <c r="H73" s="147">
        <v>11.43</v>
      </c>
      <c r="I73" s="147">
        <v>11.81</v>
      </c>
      <c r="K73" s="147" t="str">
        <f t="shared" si="3"/>
        <v>B465</v>
      </c>
      <c r="M73" s="198" t="s">
        <v>341</v>
      </c>
      <c r="N73" s="221" t="s">
        <v>342</v>
      </c>
      <c r="O73" s="221" t="str">
        <f t="shared" si="0"/>
        <v>.450" - .465"</v>
      </c>
      <c r="P73" s="221" t="str">
        <f t="shared" si="4"/>
        <v>11.43 - 11.81mm</v>
      </c>
      <c r="Q73" s="244">
        <f t="shared" si="5"/>
        <v>5</v>
      </c>
    </row>
    <row r="74" spans="3:17" x14ac:dyDescent="0.25">
      <c r="C74" s="3">
        <f t="shared" si="2"/>
        <v>5</v>
      </c>
      <c r="E74" s="334">
        <v>0.46500000000000002</v>
      </c>
      <c r="F74" s="334">
        <v>0.48</v>
      </c>
      <c r="G74" s="13"/>
      <c r="H74" s="147">
        <v>11.81</v>
      </c>
      <c r="I74" s="147">
        <v>12.19</v>
      </c>
      <c r="K74" s="147" t="str">
        <f t="shared" si="3"/>
        <v>B480</v>
      </c>
      <c r="M74" s="360" t="s">
        <v>343</v>
      </c>
      <c r="N74" s="358" t="s">
        <v>344</v>
      </c>
      <c r="O74" s="358" t="str">
        <f t="shared" si="0"/>
        <v>.465" - .480"</v>
      </c>
      <c r="P74" s="358" t="str">
        <f t="shared" si="4"/>
        <v>11.81 - 12.19mm</v>
      </c>
      <c r="Q74" s="678">
        <f t="shared" si="5"/>
        <v>5</v>
      </c>
    </row>
    <row r="75" spans="3:17" x14ac:dyDescent="0.25">
      <c r="C75" s="3">
        <f t="shared" si="2"/>
        <v>5</v>
      </c>
      <c r="E75" s="334">
        <v>0.48</v>
      </c>
      <c r="F75" s="334">
        <v>0.495</v>
      </c>
      <c r="G75" s="13"/>
      <c r="H75" s="147">
        <v>12.19</v>
      </c>
      <c r="I75" s="147">
        <v>12.57</v>
      </c>
      <c r="K75" s="750" t="str">
        <f t="shared" si="3"/>
        <v>B495</v>
      </c>
      <c r="M75" s="198" t="s">
        <v>345</v>
      </c>
      <c r="N75" s="221" t="s">
        <v>346</v>
      </c>
      <c r="O75" s="221" t="str">
        <f t="shared" si="0"/>
        <v>.480" - .495"</v>
      </c>
      <c r="P75" s="221" t="str">
        <f t="shared" si="4"/>
        <v>12.19 - 12.57mm</v>
      </c>
      <c r="Q75" s="244">
        <f t="shared" si="5"/>
        <v>5</v>
      </c>
    </row>
    <row r="76" spans="3:17" ht="16.5" thickBot="1" x14ac:dyDescent="0.3">
      <c r="C76" s="746">
        <f t="shared" si="2"/>
        <v>5</v>
      </c>
      <c r="E76" s="676">
        <v>0.495</v>
      </c>
      <c r="F76" s="676">
        <v>0.51</v>
      </c>
      <c r="G76" s="13"/>
      <c r="H76" s="458">
        <v>12.57</v>
      </c>
      <c r="I76" s="458">
        <v>12.95</v>
      </c>
      <c r="K76" s="458" t="str">
        <f t="shared" si="3"/>
        <v>B510</v>
      </c>
      <c r="M76" s="360" t="s">
        <v>347</v>
      </c>
      <c r="N76" s="358" t="s">
        <v>348</v>
      </c>
      <c r="O76" s="358" t="str">
        <f t="shared" si="0"/>
        <v>.495" - .510"</v>
      </c>
      <c r="P76" s="358" t="str">
        <f t="shared" si="4"/>
        <v>12.57 - 12.95mm</v>
      </c>
      <c r="Q76" s="678">
        <f t="shared" si="5"/>
        <v>5</v>
      </c>
    </row>
    <row r="77" spans="3:17" x14ac:dyDescent="0.25">
      <c r="C77" s="3">
        <f t="shared" si="2"/>
        <v>6</v>
      </c>
      <c r="E77" s="334">
        <v>0.51</v>
      </c>
      <c r="F77" s="334">
        <v>0.53200000000000003</v>
      </c>
      <c r="G77" s="13"/>
      <c r="H77" s="147">
        <v>12.95</v>
      </c>
      <c r="I77" s="147">
        <v>13.51</v>
      </c>
      <c r="K77" s="147" t="str">
        <f t="shared" si="3"/>
        <v>B532</v>
      </c>
      <c r="M77" s="449" t="s">
        <v>349</v>
      </c>
      <c r="N77" s="450" t="s">
        <v>350</v>
      </c>
      <c r="O77" s="450" t="str">
        <f t="shared" si="0"/>
        <v>.510" - .532"</v>
      </c>
      <c r="P77" s="450" t="str">
        <f t="shared" si="4"/>
        <v>12.95 - 13.51mm</v>
      </c>
      <c r="Q77" s="680">
        <f t="shared" si="5"/>
        <v>6</v>
      </c>
    </row>
    <row r="78" spans="3:17" x14ac:dyDescent="0.25">
      <c r="C78" s="3">
        <f t="shared" si="2"/>
        <v>6</v>
      </c>
      <c r="E78" s="334">
        <v>0.53200000000000003</v>
      </c>
      <c r="F78" s="334">
        <v>0.54700000000000004</v>
      </c>
      <c r="G78" s="13"/>
      <c r="H78" s="147">
        <v>13.51</v>
      </c>
      <c r="I78" s="147">
        <v>13.89</v>
      </c>
      <c r="K78" s="147" t="str">
        <f t="shared" si="3"/>
        <v>B547</v>
      </c>
      <c r="M78" s="360" t="s">
        <v>351</v>
      </c>
      <c r="N78" s="358" t="s">
        <v>352</v>
      </c>
      <c r="O78" s="358" t="str">
        <f t="shared" si="0"/>
        <v>.532" - .547"</v>
      </c>
      <c r="P78" s="358" t="str">
        <f t="shared" si="4"/>
        <v>13.51 - 13.89mm</v>
      </c>
      <c r="Q78" s="678">
        <f t="shared" si="5"/>
        <v>6</v>
      </c>
    </row>
    <row r="79" spans="3:17" x14ac:dyDescent="0.25">
      <c r="C79" s="3">
        <f t="shared" si="2"/>
        <v>6</v>
      </c>
      <c r="E79" s="334">
        <v>0.54700000000000004</v>
      </c>
      <c r="F79" s="334">
        <v>0.56299999999999994</v>
      </c>
      <c r="G79" s="13"/>
      <c r="H79" s="147">
        <v>13.89</v>
      </c>
      <c r="I79" s="147">
        <v>14.3</v>
      </c>
      <c r="K79" s="147" t="str">
        <f t="shared" si="3"/>
        <v>B563</v>
      </c>
      <c r="M79" s="198" t="s">
        <v>353</v>
      </c>
      <c r="N79" s="221" t="s">
        <v>354</v>
      </c>
      <c r="O79" s="221" t="str">
        <f t="shared" si="0"/>
        <v>.547" - .563"</v>
      </c>
      <c r="P79" s="221" t="str">
        <f t="shared" si="4"/>
        <v>13.89 - 14.30mm</v>
      </c>
      <c r="Q79" s="244">
        <f t="shared" si="5"/>
        <v>6</v>
      </c>
    </row>
    <row r="80" spans="3:17" x14ac:dyDescent="0.25">
      <c r="C80" s="3">
        <f t="shared" si="2"/>
        <v>6</v>
      </c>
      <c r="E80" s="334">
        <v>0.56299999999999994</v>
      </c>
      <c r="F80" s="334">
        <v>0.57899999999999996</v>
      </c>
      <c r="G80" s="13"/>
      <c r="H80" s="147">
        <v>14.3</v>
      </c>
      <c r="I80" s="147">
        <v>14.71</v>
      </c>
      <c r="K80" s="147" t="str">
        <f t="shared" si="3"/>
        <v>B579</v>
      </c>
      <c r="M80" s="360" t="s">
        <v>355</v>
      </c>
      <c r="N80" s="358" t="s">
        <v>356</v>
      </c>
      <c r="O80" s="358" t="str">
        <f t="shared" si="0"/>
        <v>.563" - .579"</v>
      </c>
      <c r="P80" s="358" t="str">
        <f t="shared" si="4"/>
        <v>14.30 - 14.71mm</v>
      </c>
      <c r="Q80" s="678">
        <f t="shared" si="5"/>
        <v>6</v>
      </c>
    </row>
    <row r="81" spans="3:17" x14ac:dyDescent="0.25">
      <c r="C81" s="3">
        <f t="shared" si="2"/>
        <v>6</v>
      </c>
      <c r="E81" s="334">
        <v>0.57899999999999996</v>
      </c>
      <c r="F81" s="334">
        <v>0.59399999999999997</v>
      </c>
      <c r="G81" s="13"/>
      <c r="H81" s="147">
        <v>14.71</v>
      </c>
      <c r="I81" s="147">
        <v>15.09</v>
      </c>
      <c r="K81" s="147" t="str">
        <f t="shared" si="3"/>
        <v>B594</v>
      </c>
      <c r="M81" s="198" t="s">
        <v>357</v>
      </c>
      <c r="N81" s="221" t="s">
        <v>358</v>
      </c>
      <c r="O81" s="221" t="str">
        <f t="shared" ref="O81:O99" si="6">_xlfn.CONCAT(TEXT($E81,"#.000"),""""," - ",TEXT($F81,"#.000"),"""")</f>
        <v>.579" - .594"</v>
      </c>
      <c r="P81" s="221" t="str">
        <f t="shared" si="4"/>
        <v>14.71 - 15.09mm</v>
      </c>
      <c r="Q81" s="244">
        <f t="shared" ref="Q81:Q100" si="7">_xlfn.XLOOKUP($C81,$E$11:$E$12,$O$11:$O$12,"",-1)</f>
        <v>6</v>
      </c>
    </row>
    <row r="82" spans="3:17" x14ac:dyDescent="0.25">
      <c r="C82" s="3">
        <f t="shared" ref="C82:C100" si="8">VALUE(LEFT(N82,1))</f>
        <v>6</v>
      </c>
      <c r="E82" s="334">
        <v>0.59399999999999997</v>
      </c>
      <c r="F82" s="334">
        <v>0.61</v>
      </c>
      <c r="G82" s="13"/>
      <c r="H82" s="147">
        <v>15.09</v>
      </c>
      <c r="I82" s="147">
        <v>15.49</v>
      </c>
      <c r="K82" s="147" t="str">
        <f t="shared" ref="K82:K100" si="9">M82</f>
        <v>B610</v>
      </c>
      <c r="M82" s="360" t="s">
        <v>359</v>
      </c>
      <c r="N82" s="358" t="s">
        <v>360</v>
      </c>
      <c r="O82" s="358" t="str">
        <f t="shared" si="6"/>
        <v>.594" - .610"</v>
      </c>
      <c r="P82" s="358" t="str">
        <f t="shared" ref="P82:P100" si="10">_xlfn.CONCAT(TEXT($H82,"0.00")," - ",TEXT($I82,"0.00"),"mm")</f>
        <v>15.09 - 15.49mm</v>
      </c>
      <c r="Q82" s="678">
        <f t="shared" si="7"/>
        <v>6</v>
      </c>
    </row>
    <row r="83" spans="3:17" x14ac:dyDescent="0.25">
      <c r="C83" s="3">
        <f t="shared" si="8"/>
        <v>6</v>
      </c>
      <c r="E83" s="334">
        <v>0.61</v>
      </c>
      <c r="F83" s="334">
        <v>0.625</v>
      </c>
      <c r="G83" s="13"/>
      <c r="H83" s="147">
        <v>15.49</v>
      </c>
      <c r="I83" s="147">
        <v>15.88</v>
      </c>
      <c r="K83" s="750" t="str">
        <f t="shared" si="9"/>
        <v>B625</v>
      </c>
      <c r="M83" s="198" t="s">
        <v>361</v>
      </c>
      <c r="N83" s="221" t="s">
        <v>362</v>
      </c>
      <c r="O83" s="221" t="str">
        <f t="shared" si="6"/>
        <v>.610" - .625"</v>
      </c>
      <c r="P83" s="221" t="str">
        <f t="shared" si="10"/>
        <v>15.49 - 15.88mm</v>
      </c>
      <c r="Q83" s="244">
        <f t="shared" si="7"/>
        <v>6</v>
      </c>
    </row>
    <row r="84" spans="3:17" ht="16.5" thickBot="1" x14ac:dyDescent="0.3">
      <c r="C84" s="746">
        <f t="shared" si="8"/>
        <v>6</v>
      </c>
      <c r="E84" s="676">
        <v>0.625</v>
      </c>
      <c r="F84" s="676">
        <v>0.63500000000000001</v>
      </c>
      <c r="G84" s="13"/>
      <c r="H84" s="458">
        <v>15.88</v>
      </c>
      <c r="I84" s="458">
        <v>16.13</v>
      </c>
      <c r="K84" s="458" t="str">
        <f t="shared" si="9"/>
        <v>B635</v>
      </c>
      <c r="M84" s="360" t="s">
        <v>363</v>
      </c>
      <c r="N84" s="358" t="s">
        <v>364</v>
      </c>
      <c r="O84" s="358" t="str">
        <f t="shared" si="6"/>
        <v>.625" - .635"</v>
      </c>
      <c r="P84" s="358" t="str">
        <f t="shared" si="10"/>
        <v>15.88 - 16.13mm</v>
      </c>
      <c r="Q84" s="678">
        <f t="shared" si="7"/>
        <v>6</v>
      </c>
    </row>
    <row r="85" spans="3:17" x14ac:dyDescent="0.25">
      <c r="C85" s="3">
        <f t="shared" si="8"/>
        <v>7</v>
      </c>
      <c r="E85" s="334">
        <v>0.63500000000000001</v>
      </c>
      <c r="F85" s="334">
        <v>0.65600000000000003</v>
      </c>
      <c r="G85" s="13"/>
      <c r="H85" s="147">
        <v>16.13</v>
      </c>
      <c r="I85" s="147">
        <v>16.66</v>
      </c>
      <c r="K85" s="147" t="str">
        <f t="shared" si="9"/>
        <v>B656</v>
      </c>
      <c r="M85" s="449" t="s">
        <v>365</v>
      </c>
      <c r="N85" s="450" t="s">
        <v>366</v>
      </c>
      <c r="O85" s="450" t="str">
        <f t="shared" si="6"/>
        <v>.635" - .656"</v>
      </c>
      <c r="P85" s="450" t="str">
        <f t="shared" si="10"/>
        <v>16.13 - 16.66mm</v>
      </c>
      <c r="Q85" s="680">
        <f t="shared" si="7"/>
        <v>6</v>
      </c>
    </row>
    <row r="86" spans="3:17" x14ac:dyDescent="0.25">
      <c r="C86" s="3">
        <f t="shared" si="8"/>
        <v>7</v>
      </c>
      <c r="E86" s="334">
        <v>0.65600000000000003</v>
      </c>
      <c r="F86" s="334">
        <v>0.67200000000000004</v>
      </c>
      <c r="G86" s="13"/>
      <c r="H86" s="147">
        <v>16.66</v>
      </c>
      <c r="I86" s="147">
        <v>17.07</v>
      </c>
      <c r="K86" s="147" t="str">
        <f t="shared" si="9"/>
        <v>B672</v>
      </c>
      <c r="M86" s="360" t="s">
        <v>367</v>
      </c>
      <c r="N86" s="358" t="s">
        <v>368</v>
      </c>
      <c r="O86" s="358" t="str">
        <f t="shared" si="6"/>
        <v>.656" - .672"</v>
      </c>
      <c r="P86" s="358" t="str">
        <f t="shared" si="10"/>
        <v>16.66 - 17.07mm</v>
      </c>
      <c r="Q86" s="678">
        <f t="shared" si="7"/>
        <v>6</v>
      </c>
    </row>
    <row r="87" spans="3:17" x14ac:dyDescent="0.25">
      <c r="C87" s="3">
        <f t="shared" si="8"/>
        <v>7</v>
      </c>
      <c r="E87" s="334">
        <v>0.67200000000000004</v>
      </c>
      <c r="F87" s="334">
        <v>0.68799999999999994</v>
      </c>
      <c r="G87" s="13"/>
      <c r="H87" s="147">
        <v>17.07</v>
      </c>
      <c r="I87" s="147">
        <v>17.48</v>
      </c>
      <c r="K87" s="147" t="str">
        <f t="shared" si="9"/>
        <v>B688</v>
      </c>
      <c r="M87" s="198" t="s">
        <v>369</v>
      </c>
      <c r="N87" s="221" t="s">
        <v>370</v>
      </c>
      <c r="O87" s="221" t="str">
        <f t="shared" si="6"/>
        <v>.672" - .688"</v>
      </c>
      <c r="P87" s="221" t="str">
        <f t="shared" si="10"/>
        <v>17.07 - 17.48mm</v>
      </c>
      <c r="Q87" s="244">
        <f t="shared" si="7"/>
        <v>6</v>
      </c>
    </row>
    <row r="88" spans="3:17" x14ac:dyDescent="0.25">
      <c r="C88" s="3">
        <f t="shared" si="8"/>
        <v>7</v>
      </c>
      <c r="E88" s="334">
        <v>0.68799999999999994</v>
      </c>
      <c r="F88" s="334">
        <v>0.70399999999999996</v>
      </c>
      <c r="G88" s="13"/>
      <c r="H88" s="147">
        <v>17.48</v>
      </c>
      <c r="I88" s="147">
        <v>17.88</v>
      </c>
      <c r="K88" s="147" t="str">
        <f t="shared" si="9"/>
        <v>B704</v>
      </c>
      <c r="M88" s="360" t="s">
        <v>371</v>
      </c>
      <c r="N88" s="358" t="s">
        <v>372</v>
      </c>
      <c r="O88" s="358" t="str">
        <f t="shared" si="6"/>
        <v>.688" - .704"</v>
      </c>
      <c r="P88" s="358" t="str">
        <f t="shared" si="10"/>
        <v>17.48 - 17.88mm</v>
      </c>
      <c r="Q88" s="678">
        <f t="shared" si="7"/>
        <v>6</v>
      </c>
    </row>
    <row r="89" spans="3:17" x14ac:dyDescent="0.25">
      <c r="C89" s="3">
        <f t="shared" si="8"/>
        <v>7</v>
      </c>
      <c r="E89" s="334">
        <v>0.70399999999999996</v>
      </c>
      <c r="F89" s="334">
        <v>0.71899999999999997</v>
      </c>
      <c r="G89" s="13"/>
      <c r="H89" s="147">
        <v>17.88</v>
      </c>
      <c r="I89" s="147">
        <v>18.260000000000002</v>
      </c>
      <c r="K89" s="147" t="str">
        <f t="shared" si="9"/>
        <v>B719</v>
      </c>
      <c r="M89" s="198" t="s">
        <v>373</v>
      </c>
      <c r="N89" s="221" t="s">
        <v>374</v>
      </c>
      <c r="O89" s="221" t="str">
        <f t="shared" si="6"/>
        <v>.704" - .719"</v>
      </c>
      <c r="P89" s="221" t="str">
        <f t="shared" si="10"/>
        <v>17.88 - 18.26mm</v>
      </c>
      <c r="Q89" s="244">
        <f t="shared" si="7"/>
        <v>6</v>
      </c>
    </row>
    <row r="90" spans="3:17" x14ac:dyDescent="0.25">
      <c r="C90" s="3">
        <f t="shared" si="8"/>
        <v>7</v>
      </c>
      <c r="E90" s="334">
        <v>0.71899999999999997</v>
      </c>
      <c r="F90" s="334">
        <v>0.73499999999999999</v>
      </c>
      <c r="G90" s="13"/>
      <c r="H90" s="147">
        <v>18.260000000000002</v>
      </c>
      <c r="I90" s="147">
        <v>18.670000000000002</v>
      </c>
      <c r="K90" s="147" t="str">
        <f t="shared" si="9"/>
        <v>B735</v>
      </c>
      <c r="M90" s="360" t="s">
        <v>375</v>
      </c>
      <c r="N90" s="358" t="s">
        <v>376</v>
      </c>
      <c r="O90" s="358" t="str">
        <f t="shared" si="6"/>
        <v>.719" - .735"</v>
      </c>
      <c r="P90" s="358" t="str">
        <f t="shared" si="10"/>
        <v>18.26 - 18.67mm</v>
      </c>
      <c r="Q90" s="678">
        <f t="shared" si="7"/>
        <v>6</v>
      </c>
    </row>
    <row r="91" spans="3:17" x14ac:dyDescent="0.25">
      <c r="C91" s="3">
        <f t="shared" si="8"/>
        <v>7</v>
      </c>
      <c r="E91" s="334">
        <v>0.73499999999999999</v>
      </c>
      <c r="F91" s="334">
        <v>0.75</v>
      </c>
      <c r="G91" s="13"/>
      <c r="H91" s="147">
        <v>18.670000000000002</v>
      </c>
      <c r="I91" s="147">
        <v>19.05</v>
      </c>
      <c r="K91" s="750" t="str">
        <f t="shared" si="9"/>
        <v>B750</v>
      </c>
      <c r="M91" s="198" t="s">
        <v>377</v>
      </c>
      <c r="N91" s="221" t="s">
        <v>378</v>
      </c>
      <c r="O91" s="221" t="str">
        <f t="shared" si="6"/>
        <v>.735" - .750"</v>
      </c>
      <c r="P91" s="221" t="str">
        <f t="shared" si="10"/>
        <v>18.67 - 19.05mm</v>
      </c>
      <c r="Q91" s="244">
        <f t="shared" si="7"/>
        <v>6</v>
      </c>
    </row>
    <row r="92" spans="3:17" ht="16.5" thickBot="1" x14ac:dyDescent="0.3">
      <c r="C92" s="746">
        <f t="shared" si="8"/>
        <v>7</v>
      </c>
      <c r="E92" s="676">
        <v>0.75</v>
      </c>
      <c r="F92" s="676">
        <v>0.76</v>
      </c>
      <c r="G92" s="13"/>
      <c r="H92" s="458">
        <v>19.05</v>
      </c>
      <c r="I92" s="458">
        <v>19.3</v>
      </c>
      <c r="K92" s="458" t="str">
        <f t="shared" si="9"/>
        <v>B760</v>
      </c>
      <c r="M92" s="455" t="s">
        <v>379</v>
      </c>
      <c r="N92" s="456" t="s">
        <v>380</v>
      </c>
      <c r="O92" s="456" t="str">
        <f t="shared" si="6"/>
        <v>.750" - .760"</v>
      </c>
      <c r="P92" s="456" t="str">
        <f t="shared" si="10"/>
        <v>19.05 - 19.30mm</v>
      </c>
      <c r="Q92" s="684">
        <f t="shared" si="7"/>
        <v>6</v>
      </c>
    </row>
    <row r="93" spans="3:17" x14ac:dyDescent="0.25">
      <c r="C93" s="3">
        <f t="shared" si="8"/>
        <v>8</v>
      </c>
      <c r="E93" s="334">
        <v>0.76</v>
      </c>
      <c r="F93" s="334">
        <v>0.78100000000000003</v>
      </c>
      <c r="G93" s="13"/>
      <c r="H93" s="147">
        <v>19.3</v>
      </c>
      <c r="I93" s="147">
        <v>19.84</v>
      </c>
      <c r="K93" s="147" t="str">
        <f t="shared" si="9"/>
        <v>B781</v>
      </c>
      <c r="M93" s="449" t="s">
        <v>381</v>
      </c>
      <c r="N93" s="450" t="s">
        <v>382</v>
      </c>
      <c r="O93" s="450" t="str">
        <f t="shared" si="6"/>
        <v>.760" - .781"</v>
      </c>
      <c r="P93" s="450" t="str">
        <f t="shared" si="10"/>
        <v>19.30 - 19.84mm</v>
      </c>
      <c r="Q93" s="680">
        <f t="shared" si="7"/>
        <v>6</v>
      </c>
    </row>
    <row r="94" spans="3:17" x14ac:dyDescent="0.25">
      <c r="C94" s="3">
        <f t="shared" si="8"/>
        <v>8</v>
      </c>
      <c r="E94" s="334">
        <v>0.78100000000000003</v>
      </c>
      <c r="F94" s="334">
        <v>0.81200000000000006</v>
      </c>
      <c r="G94" s="13"/>
      <c r="H94" s="147">
        <v>19.84</v>
      </c>
      <c r="I94" s="147">
        <v>20.62</v>
      </c>
      <c r="K94" s="147" t="str">
        <f t="shared" si="9"/>
        <v>B812</v>
      </c>
      <c r="M94" s="360" t="s">
        <v>383</v>
      </c>
      <c r="N94" s="358" t="s">
        <v>384</v>
      </c>
      <c r="O94" s="358" t="str">
        <f t="shared" si="6"/>
        <v>.781" - .812"</v>
      </c>
      <c r="P94" s="358" t="str">
        <f t="shared" si="10"/>
        <v>19.84 - 20.62mm</v>
      </c>
      <c r="Q94" s="678">
        <f t="shared" si="7"/>
        <v>6</v>
      </c>
    </row>
    <row r="95" spans="3:17" x14ac:dyDescent="0.25">
      <c r="C95" s="3">
        <f t="shared" si="8"/>
        <v>8</v>
      </c>
      <c r="E95" s="334">
        <v>0.81200000000000006</v>
      </c>
      <c r="F95" s="334">
        <v>0.84299999999999997</v>
      </c>
      <c r="G95" s="13"/>
      <c r="H95" s="147">
        <v>20.62</v>
      </c>
      <c r="I95" s="147">
        <v>21.41</v>
      </c>
      <c r="K95" s="147" t="str">
        <f t="shared" si="9"/>
        <v>B843</v>
      </c>
      <c r="M95" s="198" t="s">
        <v>385</v>
      </c>
      <c r="N95" s="221" t="s">
        <v>386</v>
      </c>
      <c r="O95" s="221" t="str">
        <f t="shared" si="6"/>
        <v>.812" - .843"</v>
      </c>
      <c r="P95" s="221" t="str">
        <f t="shared" si="10"/>
        <v>20.62 - 21.41mm</v>
      </c>
      <c r="Q95" s="244">
        <f t="shared" si="7"/>
        <v>6</v>
      </c>
    </row>
    <row r="96" spans="3:17" x14ac:dyDescent="0.25">
      <c r="C96" s="3">
        <f t="shared" si="8"/>
        <v>8</v>
      </c>
      <c r="E96" s="334">
        <v>0.84299999999999997</v>
      </c>
      <c r="F96" s="334">
        <v>0.875</v>
      </c>
      <c r="G96" s="13"/>
      <c r="H96" s="147">
        <v>21.41</v>
      </c>
      <c r="I96" s="147">
        <v>22.23</v>
      </c>
      <c r="K96" s="750" t="str">
        <f t="shared" si="9"/>
        <v>B875</v>
      </c>
      <c r="M96" s="360" t="s">
        <v>387</v>
      </c>
      <c r="N96" s="358" t="s">
        <v>388</v>
      </c>
      <c r="O96" s="358" t="str">
        <f t="shared" si="6"/>
        <v>.843" - .875"</v>
      </c>
      <c r="P96" s="358" t="str">
        <f t="shared" si="10"/>
        <v>21.41 - 22.23mm</v>
      </c>
      <c r="Q96" s="678">
        <f t="shared" si="7"/>
        <v>6</v>
      </c>
    </row>
    <row r="97" spans="3:17" x14ac:dyDescent="0.25">
      <c r="C97" s="3">
        <f t="shared" si="8"/>
        <v>8</v>
      </c>
      <c r="E97" s="334">
        <v>0.875</v>
      </c>
      <c r="F97" s="334">
        <v>0.90600000000000003</v>
      </c>
      <c r="G97" s="13"/>
      <c r="H97" s="147">
        <v>22.23</v>
      </c>
      <c r="I97" s="147">
        <v>23.01</v>
      </c>
      <c r="K97" s="147" t="str">
        <f t="shared" si="9"/>
        <v>B906</v>
      </c>
      <c r="M97" s="198" t="s">
        <v>389</v>
      </c>
      <c r="N97" s="221" t="s">
        <v>390</v>
      </c>
      <c r="O97" s="221" t="str">
        <f t="shared" si="6"/>
        <v>.875" - .906"</v>
      </c>
      <c r="P97" s="221" t="str">
        <f t="shared" si="10"/>
        <v>22.23 - 23.01mm</v>
      </c>
      <c r="Q97" s="244">
        <f t="shared" si="7"/>
        <v>6</v>
      </c>
    </row>
    <row r="98" spans="3:17" x14ac:dyDescent="0.25">
      <c r="C98" s="3">
        <f t="shared" si="8"/>
        <v>8</v>
      </c>
      <c r="E98" s="334">
        <v>0.90600000000000003</v>
      </c>
      <c r="F98" s="334">
        <v>0.93700000000000006</v>
      </c>
      <c r="G98" s="13"/>
      <c r="H98" s="147">
        <v>23.01</v>
      </c>
      <c r="I98" s="147">
        <v>23.8</v>
      </c>
      <c r="K98" s="147" t="str">
        <f t="shared" si="9"/>
        <v>B937</v>
      </c>
      <c r="M98" s="360" t="s">
        <v>391</v>
      </c>
      <c r="N98" s="358" t="s">
        <v>392</v>
      </c>
      <c r="O98" s="358" t="str">
        <f t="shared" si="6"/>
        <v>.906" - .937"</v>
      </c>
      <c r="P98" s="358" t="str">
        <f t="shared" si="10"/>
        <v>23.01 - 23.80mm</v>
      </c>
      <c r="Q98" s="678">
        <f t="shared" si="7"/>
        <v>6</v>
      </c>
    </row>
    <row r="99" spans="3:17" x14ac:dyDescent="0.25">
      <c r="C99" s="3">
        <f t="shared" si="8"/>
        <v>8</v>
      </c>
      <c r="E99" s="334">
        <v>0.93700000000000006</v>
      </c>
      <c r="F99" s="334">
        <v>0.96799999999999997</v>
      </c>
      <c r="G99" s="13"/>
      <c r="H99" s="147">
        <v>23.8</v>
      </c>
      <c r="I99" s="147">
        <v>24.59</v>
      </c>
      <c r="K99" s="147" t="str">
        <f t="shared" si="9"/>
        <v>B968</v>
      </c>
      <c r="M99" s="198" t="s">
        <v>393</v>
      </c>
      <c r="N99" s="221" t="s">
        <v>394</v>
      </c>
      <c r="O99" s="221" t="str">
        <f t="shared" si="6"/>
        <v>.937" - .968"</v>
      </c>
      <c r="P99" s="221" t="str">
        <f t="shared" si="10"/>
        <v>23.80 - 24.59mm</v>
      </c>
      <c r="Q99" s="244">
        <f t="shared" si="7"/>
        <v>6</v>
      </c>
    </row>
    <row r="100" spans="3:17" ht="16.5" thickBot="1" x14ac:dyDescent="0.3">
      <c r="C100" s="746">
        <f t="shared" si="8"/>
        <v>8</v>
      </c>
      <c r="E100" s="676">
        <v>0.96799999999999997</v>
      </c>
      <c r="F100" s="676">
        <v>1.01</v>
      </c>
      <c r="G100" s="13"/>
      <c r="H100" s="458">
        <v>24.59</v>
      </c>
      <c r="I100" s="458">
        <v>25.65</v>
      </c>
      <c r="K100" s="458" t="str">
        <f t="shared" si="9"/>
        <v>B1000</v>
      </c>
      <c r="M100" s="361" t="s">
        <v>395</v>
      </c>
      <c r="N100" s="362" t="s">
        <v>396</v>
      </c>
      <c r="O100" s="362" t="str">
        <f>_xlfn.CONCAT(TEXT($E100,"#.000"),""""," - ",TEXT($F100,"#.000"),"""")</f>
        <v>.968" - 1.010"</v>
      </c>
      <c r="P100" s="362" t="str">
        <f t="shared" si="10"/>
        <v>24.59 - 25.65mm</v>
      </c>
      <c r="Q100" s="679">
        <f t="shared" si="7"/>
        <v>6</v>
      </c>
    </row>
    <row r="101" spans="3:17" ht="7.9" customHeight="1" x14ac:dyDescent="0.25">
      <c r="M101"/>
      <c r="N101" s="11"/>
      <c r="O101"/>
      <c r="P101" s="11"/>
      <c r="Q101" s="13"/>
    </row>
    <row r="102" spans="3:17" x14ac:dyDescent="0.25">
      <c r="M102" s="3" t="s">
        <v>718</v>
      </c>
      <c r="N102" s="11"/>
      <c r="O102"/>
      <c r="P102" s="11"/>
      <c r="Q102" s="13"/>
    </row>
    <row r="103" spans="3:17" x14ac:dyDescent="0.25">
      <c r="M103"/>
      <c r="N103" s="11"/>
      <c r="O103"/>
      <c r="P103" s="11"/>
      <c r="Q103" s="13"/>
    </row>
    <row r="104" spans="3:17" x14ac:dyDescent="0.25">
      <c r="M104"/>
      <c r="N104" s="11"/>
      <c r="O104"/>
      <c r="P104" s="11"/>
      <c r="Q104" s="13"/>
    </row>
    <row r="105" spans="3:17" x14ac:dyDescent="0.25">
      <c r="M105"/>
      <c r="N105" s="11"/>
      <c r="O105"/>
      <c r="P105" s="11"/>
      <c r="Q105" s="13"/>
    </row>
    <row r="106" spans="3:17" x14ac:dyDescent="0.25">
      <c r="M106"/>
      <c r="N106" s="11"/>
      <c r="O106"/>
      <c r="P106" s="11"/>
      <c r="Q106" s="13"/>
    </row>
  </sheetData>
  <mergeCells count="3">
    <mergeCell ref="M15:M16"/>
    <mergeCell ref="N15:N16"/>
    <mergeCell ref="Q15:Q16"/>
  </mergeCells>
  <pageMargins left="0.25" right="0.25" top="0.25" bottom="0.25" header="0.3" footer="0.3"/>
  <pageSetup scale="56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DDD6D-DCE2-498D-B0E2-6FFD78E50042}">
  <sheetPr>
    <outlinePr summaryBelow="0"/>
    <pageSetUpPr autoPageBreaks="0" fitToPage="1"/>
  </sheetPr>
  <dimension ref="A1:AF107"/>
  <sheetViews>
    <sheetView showGridLines="0" zoomScale="90" zoomScaleNormal="90" workbookViewId="0">
      <selection activeCell="Y101" sqref="Y100:Y101"/>
    </sheetView>
  </sheetViews>
  <sheetFormatPr defaultColWidth="9.140625" defaultRowHeight="15.75" outlineLevelRow="1" outlineLevelCol="1" x14ac:dyDescent="0.25"/>
  <cols>
    <col min="1" max="2" width="1.7109375" customWidth="1"/>
    <col min="3" max="3" width="9.140625" style="3" hidden="1" customWidth="1" outlineLevel="1"/>
    <col min="4" max="4" width="1.7109375" hidden="1" customWidth="1" outlineLevel="1"/>
    <col min="5" max="6" width="9.140625" style="13" hidden="1" customWidth="1" outlineLevel="1"/>
    <col min="7" max="7" width="2.7109375" hidden="1" customWidth="1" outlineLevel="1"/>
    <col min="8" max="8" width="9.140625" hidden="1" customWidth="1" outlineLevel="1"/>
    <col min="9" max="9" width="9.140625" style="13" hidden="1" customWidth="1" outlineLevel="1"/>
    <col min="10" max="10" width="2.7109375" hidden="1" customWidth="1" outlineLevel="1"/>
    <col min="11" max="11" width="9.140625" style="13" hidden="1" customWidth="1" outlineLevel="1"/>
    <col min="12" max="13" width="2.7109375" style="9" hidden="1" customWidth="1" outlineLevel="1"/>
    <col min="14" max="14" width="9.28515625" style="9" hidden="1" customWidth="1" outlineLevel="1"/>
    <col min="15" max="15" width="2.7109375" style="9" hidden="1" customWidth="1" outlineLevel="1"/>
    <col min="16" max="17" width="9.28515625" style="9" hidden="1" customWidth="1" outlineLevel="1"/>
    <col min="18" max="18" width="2.7109375" style="9" hidden="1" customWidth="1" outlineLevel="1"/>
    <col min="19" max="20" width="9.28515625" style="9" hidden="1" customWidth="1" outlineLevel="1"/>
    <col min="21" max="21" width="2.7109375" style="9" hidden="1" customWidth="1" outlineLevel="1"/>
    <col min="22" max="22" width="9.28515625" style="9" hidden="1" customWidth="1" outlineLevel="1"/>
    <col min="23" max="23" width="2.7109375" style="9" hidden="1" customWidth="1" outlineLevel="1"/>
    <col min="24" max="24" width="16" style="9" customWidth="1" collapsed="1"/>
    <col min="25" max="25" width="17" style="7" customWidth="1"/>
    <col min="26" max="26" width="17.85546875" style="9" customWidth="1"/>
    <col min="27" max="27" width="18.140625" style="7" customWidth="1"/>
    <col min="28" max="28" width="5.7109375" style="9" customWidth="1"/>
    <col min="29" max="29" width="16.28515625" style="9" customWidth="1"/>
    <col min="30" max="30" width="16.85546875" style="9" customWidth="1"/>
    <col min="31" max="31" width="18.5703125" style="9" customWidth="1"/>
    <col min="32" max="32" width="19.7109375" style="9" customWidth="1"/>
    <col min="33" max="43" width="13.140625" style="9" customWidth="1"/>
    <col min="44" max="16384" width="9.140625" style="9"/>
  </cols>
  <sheetData>
    <row r="1" spans="3:32" ht="5.0999999999999996" customHeight="1" x14ac:dyDescent="0.25"/>
    <row r="2" spans="3:32" ht="21" x14ac:dyDescent="0.35">
      <c r="E2" s="9"/>
      <c r="F2" s="9"/>
      <c r="X2" s="1" t="s">
        <v>222</v>
      </c>
      <c r="Y2" s="23"/>
      <c r="Z2" s="41"/>
    </row>
    <row r="3" spans="3:32" ht="18.75" collapsed="1" x14ac:dyDescent="0.3">
      <c r="E3" s="3"/>
      <c r="F3" s="3"/>
      <c r="X3" s="569" t="s">
        <v>448</v>
      </c>
      <c r="Y3" s="23"/>
      <c r="Z3" s="41"/>
    </row>
    <row r="4" spans="3:32" customFormat="1" ht="15" hidden="1" outlineLevel="1" x14ac:dyDescent="0.25">
      <c r="E4" s="743" t="s">
        <v>893</v>
      </c>
      <c r="F4" s="743" t="s">
        <v>894</v>
      </c>
      <c r="I4" s="13"/>
      <c r="K4" s="13"/>
      <c r="X4" s="18"/>
      <c r="Y4" s="16"/>
      <c r="Z4" s="54"/>
      <c r="AA4" s="11"/>
    </row>
    <row r="5" spans="3:32" customFormat="1" ht="15" hidden="1" outlineLevel="1" x14ac:dyDescent="0.25">
      <c r="C5" s="3"/>
      <c r="E5" s="2">
        <v>270</v>
      </c>
      <c r="F5" s="2" t="s">
        <v>222</v>
      </c>
      <c r="I5" s="13"/>
      <c r="K5" s="13"/>
      <c r="X5" s="18"/>
      <c r="Y5" s="16"/>
      <c r="Z5" s="54"/>
      <c r="AA5" s="11"/>
    </row>
    <row r="6" spans="3:32" customFormat="1" ht="15" hidden="1" outlineLevel="1" x14ac:dyDescent="0.25">
      <c r="C6" s="3"/>
      <c r="E6" s="3"/>
      <c r="F6" s="3"/>
      <c r="I6" s="13"/>
      <c r="K6" s="13"/>
      <c r="X6" s="18"/>
      <c r="Y6" s="16"/>
      <c r="Z6" s="54"/>
      <c r="AA6" s="11"/>
    </row>
    <row r="7" spans="3:32" customFormat="1" ht="15" hidden="1" outlineLevel="1" x14ac:dyDescent="0.25">
      <c r="C7" s="3"/>
      <c r="E7" s="55" t="s">
        <v>223</v>
      </c>
      <c r="F7" s="13"/>
      <c r="K7" s="13"/>
      <c r="Y7" s="11"/>
      <c r="AA7" s="11"/>
    </row>
    <row r="8" spans="3:32" customFormat="1" ht="15" hidden="1" outlineLevel="1" x14ac:dyDescent="0.25">
      <c r="C8" s="3"/>
      <c r="E8" s="13" t="s">
        <v>631</v>
      </c>
      <c r="F8" s="457"/>
      <c r="I8" s="13"/>
      <c r="K8" s="13"/>
      <c r="Y8" s="11"/>
      <c r="AA8" s="11"/>
    </row>
    <row r="9" spans="3:32" x14ac:dyDescent="0.25">
      <c r="F9" s="457"/>
    </row>
    <row r="10" spans="3:32" ht="8.1" customHeight="1" thickBot="1" x14ac:dyDescent="0.3">
      <c r="F10" s="457"/>
    </row>
    <row r="11" spans="3:32" customFormat="1" ht="15" x14ac:dyDescent="0.25">
      <c r="C11" s="3"/>
      <c r="E11" s="13"/>
      <c r="F11" s="13"/>
      <c r="I11" s="13"/>
      <c r="K11" s="13"/>
      <c r="X11" s="891" t="s">
        <v>3</v>
      </c>
      <c r="Y11" s="892" t="s">
        <v>224</v>
      </c>
      <c r="Z11" s="893" t="s">
        <v>573</v>
      </c>
      <c r="AA11" s="11"/>
    </row>
    <row r="12" spans="3:32" customFormat="1" ht="15" x14ac:dyDescent="0.25">
      <c r="E12" s="19">
        <v>1</v>
      </c>
      <c r="F12" s="19">
        <v>5</v>
      </c>
      <c r="I12" s="13"/>
      <c r="K12" s="13"/>
      <c r="X12" s="157" t="str">
        <f>_xlfn.CONCAT(E12,"W - ",F12,"W")</f>
        <v>1W - 5W</v>
      </c>
      <c r="Y12" s="159" t="s">
        <v>225</v>
      </c>
      <c r="Z12" s="1042">
        <v>5</v>
      </c>
      <c r="AA12" s="11"/>
    </row>
    <row r="13" spans="3:32" customFormat="1" thickBot="1" x14ac:dyDescent="0.3">
      <c r="E13" s="19">
        <v>6</v>
      </c>
      <c r="F13" s="19">
        <v>8</v>
      </c>
      <c r="I13" s="13"/>
      <c r="K13" s="13"/>
      <c r="X13" s="186" t="str">
        <f>_xlfn.CONCAT(E13,"W - ",F13,"W")</f>
        <v>6W - 8W</v>
      </c>
      <c r="Y13" s="189" t="s">
        <v>226</v>
      </c>
      <c r="Z13" s="1043">
        <v>6</v>
      </c>
      <c r="AA13" s="11"/>
    </row>
    <row r="14" spans="3:32" s="80" customFormat="1" ht="15" x14ac:dyDescent="0.25">
      <c r="C14" s="496"/>
      <c r="E14" s="849"/>
      <c r="F14" s="849"/>
      <c r="I14" s="515"/>
      <c r="K14" s="515"/>
      <c r="Y14" s="329"/>
      <c r="AA14" s="329"/>
    </row>
    <row r="15" spans="3:32" s="80" customFormat="1" ht="8.1" customHeight="1" thickBot="1" x14ac:dyDescent="0.3">
      <c r="C15" s="496"/>
      <c r="E15" s="849"/>
      <c r="F15" s="849"/>
      <c r="I15" s="515"/>
      <c r="K15" s="515"/>
      <c r="Y15" s="329"/>
      <c r="AA15" s="329"/>
    </row>
    <row r="16" spans="3:32" s="80" customFormat="1" ht="15" x14ac:dyDescent="0.25">
      <c r="C16" s="515" t="s">
        <v>227</v>
      </c>
      <c r="D16" s="515"/>
      <c r="E16" s="515"/>
      <c r="F16" s="515"/>
      <c r="I16" s="515"/>
      <c r="K16" s="515"/>
      <c r="X16" s="767" t="s">
        <v>918</v>
      </c>
      <c r="Y16" s="767"/>
      <c r="Z16" s="767"/>
      <c r="AA16" s="768"/>
      <c r="AC16" s="767" t="s">
        <v>919</v>
      </c>
      <c r="AD16" s="767"/>
      <c r="AE16" s="767"/>
      <c r="AF16" s="768"/>
    </row>
    <row r="17" spans="3:32" s="80" customFormat="1" ht="17.25" x14ac:dyDescent="0.25">
      <c r="C17" s="496"/>
      <c r="X17" s="1084" t="s">
        <v>9</v>
      </c>
      <c r="Y17" s="1086" t="s">
        <v>228</v>
      </c>
      <c r="Z17" s="850" t="s">
        <v>3</v>
      </c>
      <c r="AA17" s="880"/>
      <c r="AC17" s="1084" t="s">
        <v>9</v>
      </c>
      <c r="AD17" s="1086" t="s">
        <v>228</v>
      </c>
      <c r="AE17" s="850" t="s">
        <v>3</v>
      </c>
      <c r="AF17" s="880"/>
    </row>
    <row r="18" spans="3:32" s="80" customFormat="1" ht="15" x14ac:dyDescent="0.25">
      <c r="C18" s="496"/>
      <c r="E18" s="515"/>
      <c r="F18" s="515"/>
      <c r="I18" s="515"/>
      <c r="K18" s="515"/>
      <c r="X18" s="1085"/>
      <c r="Y18" s="1087"/>
      <c r="Z18" s="556" t="s">
        <v>4</v>
      </c>
      <c r="AA18" s="881" t="s">
        <v>5</v>
      </c>
      <c r="AC18" s="1084"/>
      <c r="AD18" s="1086"/>
      <c r="AE18" s="556" t="s">
        <v>4</v>
      </c>
      <c r="AF18" s="881" t="s">
        <v>5</v>
      </c>
    </row>
    <row r="19" spans="3:32" s="80" customFormat="1" ht="15" x14ac:dyDescent="0.25">
      <c r="C19" s="849">
        <v>1</v>
      </c>
      <c r="E19" s="851">
        <v>5.0000000000000001E-3</v>
      </c>
      <c r="F19" s="851">
        <v>0.01</v>
      </c>
      <c r="G19" s="849"/>
      <c r="H19" s="852">
        <v>0.13</v>
      </c>
      <c r="I19" s="852">
        <v>0.25</v>
      </c>
      <c r="K19" s="853" t="s">
        <v>229</v>
      </c>
      <c r="L19" s="854"/>
      <c r="M19" s="854"/>
      <c r="N19" s="496">
        <f t="shared" ref="N19:N42" si="0">VALUE(LEFT(AD19,1))</f>
        <v>6</v>
      </c>
      <c r="P19" s="855">
        <v>0.51</v>
      </c>
      <c r="Q19" s="855">
        <v>0.53200000000000003</v>
      </c>
      <c r="R19" s="515"/>
      <c r="S19" s="853">
        <v>12.95</v>
      </c>
      <c r="T19" s="853">
        <v>13.51</v>
      </c>
      <c r="V19" s="853" t="str">
        <f t="shared" ref="V19:V42" si="1">AC19</f>
        <v>B532</v>
      </c>
      <c r="W19" s="854"/>
      <c r="X19" s="856" t="s">
        <v>229</v>
      </c>
      <c r="Y19" s="857" t="s">
        <v>230</v>
      </c>
      <c r="Z19" s="857" t="str">
        <f t="shared" ref="Z19:Z78" si="2">_xlfn.CONCAT(TEXT($E19,"#.000"),""""," - ",TEXT($F19,"#.000"),"""")</f>
        <v>.005" - .010"</v>
      </c>
      <c r="AA19" s="882" t="str">
        <f>_xlfn.CONCAT(TEXT($H19,"0.00")," - ",TEXT($I19,"0.00"),"mm")</f>
        <v>0.13 - 0.25mm</v>
      </c>
      <c r="AC19" s="856" t="s">
        <v>349</v>
      </c>
      <c r="AD19" s="857" t="s">
        <v>350</v>
      </c>
      <c r="AE19" s="857" t="str">
        <f t="shared" ref="AE19:AE42" si="3">_xlfn.CONCAT(TEXT($P19,"#.000"),""""," - ",TEXT($Q19,"#.000"),"""")</f>
        <v>.510" - .532"</v>
      </c>
      <c r="AF19" s="882" t="str">
        <f t="shared" ref="AF19:AF42" si="4">_xlfn.CONCAT(TEXT($S19,"0.00")," - ",TEXT($T19,"0.00"),"mm")</f>
        <v>12.95 - 13.51mm</v>
      </c>
    </row>
    <row r="20" spans="3:32" s="80" customFormat="1" ht="15" x14ac:dyDescent="0.25">
      <c r="C20" s="849">
        <v>1</v>
      </c>
      <c r="E20" s="860">
        <v>0.01</v>
      </c>
      <c r="F20" s="860">
        <v>1.4999999999999999E-2</v>
      </c>
      <c r="G20" s="849"/>
      <c r="H20" s="861">
        <v>0.25</v>
      </c>
      <c r="I20" s="861">
        <v>0.38</v>
      </c>
      <c r="K20" s="862" t="s">
        <v>231</v>
      </c>
      <c r="L20" s="854"/>
      <c r="M20" s="854"/>
      <c r="N20" s="496">
        <f t="shared" si="0"/>
        <v>6</v>
      </c>
      <c r="P20" s="855">
        <v>0.53200000000000003</v>
      </c>
      <c r="Q20" s="855">
        <v>0.54700000000000004</v>
      </c>
      <c r="R20" s="515"/>
      <c r="S20" s="853">
        <v>13.51</v>
      </c>
      <c r="T20" s="853">
        <v>13.89</v>
      </c>
      <c r="V20" s="853" t="str">
        <f t="shared" si="1"/>
        <v>B547</v>
      </c>
      <c r="W20" s="854"/>
      <c r="X20" s="863" t="s">
        <v>231</v>
      </c>
      <c r="Y20" s="864" t="s">
        <v>232</v>
      </c>
      <c r="Z20" s="864" t="str">
        <f t="shared" si="2"/>
        <v>.010" - .015"</v>
      </c>
      <c r="AA20" s="883" t="str">
        <f t="shared" ref="AA20:AA78" si="5">_xlfn.CONCAT(TEXT($H20,"0.00")," - ",TEXT($I20,"0.00"),"mm")</f>
        <v>0.25 - 0.38mm</v>
      </c>
      <c r="AC20" s="863" t="s">
        <v>351</v>
      </c>
      <c r="AD20" s="864" t="s">
        <v>352</v>
      </c>
      <c r="AE20" s="864" t="str">
        <f t="shared" si="3"/>
        <v>.532" - .547"</v>
      </c>
      <c r="AF20" s="883" t="str">
        <f t="shared" si="4"/>
        <v>13.51 - 13.89mm</v>
      </c>
    </row>
    <row r="21" spans="3:32" s="80" customFormat="1" ht="15" x14ac:dyDescent="0.25">
      <c r="C21" s="865">
        <v>1</v>
      </c>
      <c r="E21" s="851">
        <v>1.4999999999999999E-2</v>
      </c>
      <c r="F21" s="851">
        <v>0.02</v>
      </c>
      <c r="G21" s="849"/>
      <c r="H21" s="852">
        <v>0.38</v>
      </c>
      <c r="I21" s="852">
        <v>0.51</v>
      </c>
      <c r="K21" s="853" t="s">
        <v>233</v>
      </c>
      <c r="L21" s="854"/>
      <c r="M21" s="854"/>
      <c r="N21" s="496">
        <f t="shared" si="0"/>
        <v>6</v>
      </c>
      <c r="P21" s="855">
        <v>0.54700000000000004</v>
      </c>
      <c r="Q21" s="855">
        <v>0.56299999999999994</v>
      </c>
      <c r="R21" s="515"/>
      <c r="S21" s="853">
        <v>13.89</v>
      </c>
      <c r="T21" s="853">
        <v>14.3</v>
      </c>
      <c r="V21" s="853" t="str">
        <f t="shared" si="1"/>
        <v>B563</v>
      </c>
      <c r="W21" s="854"/>
      <c r="X21" s="866" t="s">
        <v>233</v>
      </c>
      <c r="Y21" s="820" t="s">
        <v>234</v>
      </c>
      <c r="Z21" s="820" t="str">
        <f t="shared" si="2"/>
        <v>.015" - .020"</v>
      </c>
      <c r="AA21" s="884" t="str">
        <f t="shared" si="5"/>
        <v>0.38 - 0.51mm</v>
      </c>
      <c r="AC21" s="866" t="s">
        <v>353</v>
      </c>
      <c r="AD21" s="820" t="s">
        <v>354</v>
      </c>
      <c r="AE21" s="820" t="str">
        <f t="shared" si="3"/>
        <v>.547" - .563"</v>
      </c>
      <c r="AF21" s="884" t="str">
        <f t="shared" si="4"/>
        <v>13.89 - 14.30mm</v>
      </c>
    </row>
    <row r="22" spans="3:32" s="80" customFormat="1" ht="15" x14ac:dyDescent="0.25">
      <c r="C22" s="849">
        <v>1</v>
      </c>
      <c r="E22" s="851">
        <v>0.02</v>
      </c>
      <c r="F22" s="851">
        <v>2.5000000000000001E-2</v>
      </c>
      <c r="G22" s="849"/>
      <c r="H22" s="852">
        <v>0.51</v>
      </c>
      <c r="I22" s="852">
        <v>0.64</v>
      </c>
      <c r="K22" s="853" t="s">
        <v>235</v>
      </c>
      <c r="L22" s="854"/>
      <c r="M22" s="854"/>
      <c r="N22" s="496">
        <f t="shared" si="0"/>
        <v>6</v>
      </c>
      <c r="P22" s="855">
        <v>0.56299999999999994</v>
      </c>
      <c r="Q22" s="855">
        <v>0.57899999999999996</v>
      </c>
      <c r="R22" s="515"/>
      <c r="S22" s="853">
        <v>14.3</v>
      </c>
      <c r="T22" s="853">
        <v>14.71</v>
      </c>
      <c r="V22" s="853" t="str">
        <f t="shared" si="1"/>
        <v>B579</v>
      </c>
      <c r="W22" s="854"/>
      <c r="X22" s="863" t="s">
        <v>235</v>
      </c>
      <c r="Y22" s="864" t="s">
        <v>236</v>
      </c>
      <c r="Z22" s="864" t="str">
        <f t="shared" si="2"/>
        <v>.020" - .025"</v>
      </c>
      <c r="AA22" s="883" t="str">
        <f t="shared" si="5"/>
        <v>0.51 - 0.64mm</v>
      </c>
      <c r="AC22" s="863" t="s">
        <v>355</v>
      </c>
      <c r="AD22" s="864" t="s">
        <v>356</v>
      </c>
      <c r="AE22" s="864" t="str">
        <f t="shared" si="3"/>
        <v>.563" - .579"</v>
      </c>
      <c r="AF22" s="883" t="str">
        <f t="shared" si="4"/>
        <v>14.30 - 14.71mm</v>
      </c>
    </row>
    <row r="23" spans="3:32" s="80" customFormat="1" ht="15" x14ac:dyDescent="0.25">
      <c r="C23" s="849">
        <v>1</v>
      </c>
      <c r="E23" s="851">
        <v>2.5000000000000001E-2</v>
      </c>
      <c r="F23" s="851">
        <v>0.03</v>
      </c>
      <c r="G23" s="849"/>
      <c r="H23" s="852">
        <v>0.64</v>
      </c>
      <c r="I23" s="852">
        <v>0.76</v>
      </c>
      <c r="K23" s="853" t="s">
        <v>237</v>
      </c>
      <c r="L23" s="854"/>
      <c r="M23" s="854"/>
      <c r="N23" s="496">
        <f t="shared" si="0"/>
        <v>6</v>
      </c>
      <c r="P23" s="855">
        <v>0.57899999999999996</v>
      </c>
      <c r="Q23" s="855">
        <v>0.59399999999999997</v>
      </c>
      <c r="R23" s="515"/>
      <c r="S23" s="853">
        <v>14.71</v>
      </c>
      <c r="T23" s="853">
        <v>15.09</v>
      </c>
      <c r="V23" s="853" t="str">
        <f t="shared" si="1"/>
        <v>B594</v>
      </c>
      <c r="W23" s="854"/>
      <c r="X23" s="866" t="s">
        <v>237</v>
      </c>
      <c r="Y23" s="820" t="s">
        <v>238</v>
      </c>
      <c r="Z23" s="820" t="str">
        <f t="shared" si="2"/>
        <v>.025" - .030"</v>
      </c>
      <c r="AA23" s="884" t="str">
        <f t="shared" si="5"/>
        <v>0.64 - 0.76mm</v>
      </c>
      <c r="AC23" s="866" t="s">
        <v>357</v>
      </c>
      <c r="AD23" s="820" t="s">
        <v>358</v>
      </c>
      <c r="AE23" s="820" t="str">
        <f t="shared" si="3"/>
        <v>.579" - .594"</v>
      </c>
      <c r="AF23" s="884" t="str">
        <f t="shared" si="4"/>
        <v>14.71 - 15.09mm</v>
      </c>
    </row>
    <row r="24" spans="3:32" s="80" customFormat="1" ht="15" x14ac:dyDescent="0.25">
      <c r="C24" s="849">
        <v>1</v>
      </c>
      <c r="E24" s="851">
        <v>0.03</v>
      </c>
      <c r="F24" s="851">
        <v>3.5000000000000003E-2</v>
      </c>
      <c r="G24" s="849"/>
      <c r="H24" s="852">
        <v>0.76</v>
      </c>
      <c r="I24" s="852">
        <v>0.89</v>
      </c>
      <c r="K24" s="853" t="s">
        <v>239</v>
      </c>
      <c r="L24" s="854"/>
      <c r="M24" s="854"/>
      <c r="N24" s="496">
        <f t="shared" si="0"/>
        <v>6</v>
      </c>
      <c r="P24" s="855">
        <v>0.59399999999999997</v>
      </c>
      <c r="Q24" s="855">
        <v>0.61</v>
      </c>
      <c r="R24" s="515"/>
      <c r="S24" s="853">
        <v>15.09</v>
      </c>
      <c r="T24" s="853">
        <v>15.49</v>
      </c>
      <c r="V24" s="853" t="str">
        <f t="shared" si="1"/>
        <v>B610</v>
      </c>
      <c r="W24" s="854"/>
      <c r="X24" s="863" t="s">
        <v>239</v>
      </c>
      <c r="Y24" s="864" t="s">
        <v>240</v>
      </c>
      <c r="Z24" s="864" t="str">
        <f t="shared" si="2"/>
        <v>.030" - .035"</v>
      </c>
      <c r="AA24" s="883" t="str">
        <f t="shared" si="5"/>
        <v>0.76 - 0.89mm</v>
      </c>
      <c r="AC24" s="863" t="s">
        <v>359</v>
      </c>
      <c r="AD24" s="864" t="s">
        <v>360</v>
      </c>
      <c r="AE24" s="864" t="str">
        <f t="shared" si="3"/>
        <v>.594" - .610"</v>
      </c>
      <c r="AF24" s="883" t="str">
        <f t="shared" si="4"/>
        <v>15.09 - 15.49mm</v>
      </c>
    </row>
    <row r="25" spans="3:32" s="80" customFormat="1" ht="15" x14ac:dyDescent="0.25">
      <c r="C25" s="849">
        <v>1</v>
      </c>
      <c r="E25" s="851">
        <v>3.5000000000000003E-2</v>
      </c>
      <c r="F25" s="851">
        <v>0.04</v>
      </c>
      <c r="G25" s="849"/>
      <c r="H25" s="852">
        <v>0.89</v>
      </c>
      <c r="I25" s="852">
        <v>1.02</v>
      </c>
      <c r="K25" s="853" t="s">
        <v>241</v>
      </c>
      <c r="L25" s="854"/>
      <c r="M25" s="854"/>
      <c r="N25" s="496">
        <f t="shared" si="0"/>
        <v>6</v>
      </c>
      <c r="P25" s="855">
        <v>0.61</v>
      </c>
      <c r="Q25" s="855">
        <v>0.625</v>
      </c>
      <c r="R25" s="515"/>
      <c r="S25" s="853">
        <v>15.49</v>
      </c>
      <c r="T25" s="853">
        <v>15.88</v>
      </c>
      <c r="V25" s="867" t="str">
        <f t="shared" si="1"/>
        <v>B625</v>
      </c>
      <c r="W25" s="854"/>
      <c r="X25" s="866" t="s">
        <v>241</v>
      </c>
      <c r="Y25" s="820" t="s">
        <v>242</v>
      </c>
      <c r="Z25" s="820" t="str">
        <f t="shared" si="2"/>
        <v>.035" - .040"</v>
      </c>
      <c r="AA25" s="884" t="str">
        <f t="shared" si="5"/>
        <v>0.89 - 1.02mm</v>
      </c>
      <c r="AC25" s="866" t="s">
        <v>361</v>
      </c>
      <c r="AD25" s="820" t="s">
        <v>362</v>
      </c>
      <c r="AE25" s="820" t="str">
        <f t="shared" si="3"/>
        <v>.610" - .625"</v>
      </c>
      <c r="AF25" s="884" t="str">
        <f t="shared" si="4"/>
        <v>15.49 - 15.88mm</v>
      </c>
    </row>
    <row r="26" spans="3:32" s="80" customFormat="1" thickBot="1" x14ac:dyDescent="0.3">
      <c r="C26" s="849">
        <v>1</v>
      </c>
      <c r="E26" s="851">
        <v>0.04</v>
      </c>
      <c r="F26" s="851">
        <v>4.4999999999999998E-2</v>
      </c>
      <c r="G26" s="849"/>
      <c r="H26" s="852">
        <v>1.02</v>
      </c>
      <c r="I26" s="852">
        <v>1.1399999999999999</v>
      </c>
      <c r="K26" s="853" t="s">
        <v>243</v>
      </c>
      <c r="L26" s="854"/>
      <c r="M26" s="854"/>
      <c r="N26" s="476">
        <f t="shared" si="0"/>
        <v>6</v>
      </c>
      <c r="P26" s="868">
        <v>0.625</v>
      </c>
      <c r="Q26" s="868">
        <v>0.63500000000000001</v>
      </c>
      <c r="R26" s="515"/>
      <c r="S26" s="862">
        <v>15.88</v>
      </c>
      <c r="T26" s="862">
        <v>16.13</v>
      </c>
      <c r="V26" s="862" t="str">
        <f t="shared" si="1"/>
        <v>B635</v>
      </c>
      <c r="W26" s="854"/>
      <c r="X26" s="863" t="s">
        <v>243</v>
      </c>
      <c r="Y26" s="864" t="s">
        <v>244</v>
      </c>
      <c r="Z26" s="864" t="str">
        <f t="shared" si="2"/>
        <v>.040" - .045"</v>
      </c>
      <c r="AA26" s="883" t="str">
        <f t="shared" si="5"/>
        <v>1.02 - 1.14mm</v>
      </c>
      <c r="AC26" s="863" t="s">
        <v>363</v>
      </c>
      <c r="AD26" s="864" t="s">
        <v>364</v>
      </c>
      <c r="AE26" s="864" t="str">
        <f t="shared" si="3"/>
        <v>.625" - .635"</v>
      </c>
      <c r="AF26" s="883" t="str">
        <f t="shared" si="4"/>
        <v>15.88 - 16.13mm</v>
      </c>
    </row>
    <row r="27" spans="3:32" s="80" customFormat="1" ht="15" x14ac:dyDescent="0.25">
      <c r="C27" s="849">
        <v>1</v>
      </c>
      <c r="E27" s="851">
        <v>4.4999999999999998E-2</v>
      </c>
      <c r="F27" s="851">
        <v>0.05</v>
      </c>
      <c r="G27" s="849"/>
      <c r="H27" s="852">
        <v>1.1399999999999999</v>
      </c>
      <c r="I27" s="852">
        <v>1.27</v>
      </c>
      <c r="K27" s="853" t="s">
        <v>245</v>
      </c>
      <c r="L27" s="854"/>
      <c r="M27" s="854"/>
      <c r="N27" s="496">
        <f t="shared" si="0"/>
        <v>7</v>
      </c>
      <c r="P27" s="855">
        <v>0.63500000000000001</v>
      </c>
      <c r="Q27" s="855">
        <v>0.65600000000000003</v>
      </c>
      <c r="R27" s="515"/>
      <c r="S27" s="853">
        <v>16.13</v>
      </c>
      <c r="T27" s="853">
        <v>16.66</v>
      </c>
      <c r="V27" s="853" t="str">
        <f t="shared" si="1"/>
        <v>B656</v>
      </c>
      <c r="W27" s="854"/>
      <c r="X27" s="866" t="s">
        <v>245</v>
      </c>
      <c r="Y27" s="820" t="s">
        <v>246</v>
      </c>
      <c r="Z27" s="820" t="str">
        <f t="shared" si="2"/>
        <v>.045" - .050"</v>
      </c>
      <c r="AA27" s="884" t="str">
        <f t="shared" si="5"/>
        <v>1.14 - 1.27mm</v>
      </c>
      <c r="AC27" s="858" t="s">
        <v>365</v>
      </c>
      <c r="AD27" s="859" t="s">
        <v>366</v>
      </c>
      <c r="AE27" s="859" t="str">
        <f t="shared" si="3"/>
        <v>.635" - .656"</v>
      </c>
      <c r="AF27" s="886" t="str">
        <f t="shared" si="4"/>
        <v>16.13 - 16.66mm</v>
      </c>
    </row>
    <row r="28" spans="3:32" s="80" customFormat="1" ht="15" x14ac:dyDescent="0.25">
      <c r="C28" s="849">
        <v>1</v>
      </c>
      <c r="E28" s="851">
        <v>0.05</v>
      </c>
      <c r="F28" s="851">
        <v>5.5E-2</v>
      </c>
      <c r="G28" s="849"/>
      <c r="H28" s="852">
        <v>1.27</v>
      </c>
      <c r="I28" s="852">
        <v>1.4</v>
      </c>
      <c r="K28" s="853" t="s">
        <v>247</v>
      </c>
      <c r="L28" s="854"/>
      <c r="M28" s="854"/>
      <c r="N28" s="496">
        <f t="shared" si="0"/>
        <v>7</v>
      </c>
      <c r="P28" s="855">
        <v>0.65600000000000003</v>
      </c>
      <c r="Q28" s="855">
        <v>0.67200000000000004</v>
      </c>
      <c r="R28" s="515"/>
      <c r="S28" s="853">
        <v>16.66</v>
      </c>
      <c r="T28" s="853">
        <v>17.07</v>
      </c>
      <c r="V28" s="853" t="str">
        <f t="shared" si="1"/>
        <v>B672</v>
      </c>
      <c r="W28" s="854"/>
      <c r="X28" s="863" t="s">
        <v>247</v>
      </c>
      <c r="Y28" s="864" t="s">
        <v>248</v>
      </c>
      <c r="Z28" s="864" t="str">
        <f t="shared" si="2"/>
        <v>.050" - .055"</v>
      </c>
      <c r="AA28" s="883" t="str">
        <f t="shared" si="5"/>
        <v>1.27 - 1.40mm</v>
      </c>
      <c r="AC28" s="863" t="s">
        <v>367</v>
      </c>
      <c r="AD28" s="864" t="s">
        <v>368</v>
      </c>
      <c r="AE28" s="864" t="str">
        <f t="shared" si="3"/>
        <v>.656" - .672"</v>
      </c>
      <c r="AF28" s="883" t="str">
        <f t="shared" si="4"/>
        <v>16.66 - 17.07mm</v>
      </c>
    </row>
    <row r="29" spans="3:32" s="80" customFormat="1" ht="15" x14ac:dyDescent="0.25">
      <c r="C29" s="849">
        <v>1</v>
      </c>
      <c r="E29" s="851">
        <v>5.5E-2</v>
      </c>
      <c r="F29" s="851">
        <v>0.06</v>
      </c>
      <c r="G29" s="849"/>
      <c r="H29" s="852">
        <v>1.4</v>
      </c>
      <c r="I29" s="852">
        <v>1.52</v>
      </c>
      <c r="K29" s="853" t="s">
        <v>249</v>
      </c>
      <c r="L29" s="854"/>
      <c r="M29" s="854"/>
      <c r="N29" s="496">
        <f t="shared" si="0"/>
        <v>7</v>
      </c>
      <c r="P29" s="855">
        <v>0.67200000000000004</v>
      </c>
      <c r="Q29" s="855">
        <v>0.68799999999999994</v>
      </c>
      <c r="R29" s="515"/>
      <c r="S29" s="853">
        <v>17.07</v>
      </c>
      <c r="T29" s="853">
        <v>17.48</v>
      </c>
      <c r="V29" s="853" t="str">
        <f t="shared" si="1"/>
        <v>B688</v>
      </c>
      <c r="W29" s="854"/>
      <c r="X29" s="866" t="s">
        <v>249</v>
      </c>
      <c r="Y29" s="820" t="s">
        <v>250</v>
      </c>
      <c r="Z29" s="820" t="str">
        <f t="shared" si="2"/>
        <v>.055" - .060"</v>
      </c>
      <c r="AA29" s="884" t="str">
        <f t="shared" si="5"/>
        <v>1.40 - 1.52mm</v>
      </c>
      <c r="AC29" s="866" t="s">
        <v>369</v>
      </c>
      <c r="AD29" s="820" t="s">
        <v>370</v>
      </c>
      <c r="AE29" s="820" t="str">
        <f t="shared" si="3"/>
        <v>.672" - .688"</v>
      </c>
      <c r="AF29" s="884" t="str">
        <f t="shared" si="4"/>
        <v>17.07 - 17.48mm</v>
      </c>
    </row>
    <row r="30" spans="3:32" s="80" customFormat="1" ht="15" x14ac:dyDescent="0.25">
      <c r="C30" s="849">
        <v>1</v>
      </c>
      <c r="E30" s="851">
        <v>0.06</v>
      </c>
      <c r="F30" s="851">
        <v>6.5000000000000002E-2</v>
      </c>
      <c r="G30" s="849"/>
      <c r="H30" s="852">
        <v>1.52</v>
      </c>
      <c r="I30" s="852">
        <v>1.65</v>
      </c>
      <c r="K30" s="853" t="s">
        <v>251</v>
      </c>
      <c r="L30" s="854"/>
      <c r="M30" s="854"/>
      <c r="N30" s="496">
        <f t="shared" si="0"/>
        <v>7</v>
      </c>
      <c r="P30" s="855">
        <v>0.68799999999999994</v>
      </c>
      <c r="Q30" s="855">
        <v>0.70399999999999996</v>
      </c>
      <c r="R30" s="515"/>
      <c r="S30" s="853">
        <v>17.48</v>
      </c>
      <c r="T30" s="853">
        <v>17.88</v>
      </c>
      <c r="V30" s="853" t="str">
        <f t="shared" si="1"/>
        <v>B704</v>
      </c>
      <c r="W30" s="854"/>
      <c r="X30" s="863" t="s">
        <v>251</v>
      </c>
      <c r="Y30" s="864" t="s">
        <v>252</v>
      </c>
      <c r="Z30" s="864" t="str">
        <f t="shared" si="2"/>
        <v>.060" - .065"</v>
      </c>
      <c r="AA30" s="883" t="str">
        <f t="shared" si="5"/>
        <v>1.52 - 1.65mm</v>
      </c>
      <c r="AC30" s="863" t="s">
        <v>371</v>
      </c>
      <c r="AD30" s="864" t="s">
        <v>372</v>
      </c>
      <c r="AE30" s="864" t="str">
        <f t="shared" si="3"/>
        <v>.688" - .704"</v>
      </c>
      <c r="AF30" s="883" t="str">
        <f t="shared" si="4"/>
        <v>17.48 - 17.88mm</v>
      </c>
    </row>
    <row r="31" spans="3:32" s="80" customFormat="1" ht="15" x14ac:dyDescent="0.25">
      <c r="C31" s="849">
        <v>1</v>
      </c>
      <c r="E31" s="851">
        <v>6.5000000000000002E-2</v>
      </c>
      <c r="F31" s="851">
        <v>7.0000000000000007E-2</v>
      </c>
      <c r="G31" s="849"/>
      <c r="H31" s="852">
        <v>1.65</v>
      </c>
      <c r="I31" s="852">
        <v>1.78</v>
      </c>
      <c r="K31" s="853" t="s">
        <v>253</v>
      </c>
      <c r="L31" s="854"/>
      <c r="M31" s="854"/>
      <c r="N31" s="496">
        <f t="shared" si="0"/>
        <v>7</v>
      </c>
      <c r="P31" s="855">
        <v>0.70399999999999996</v>
      </c>
      <c r="Q31" s="855">
        <v>0.71899999999999997</v>
      </c>
      <c r="R31" s="515"/>
      <c r="S31" s="853">
        <v>17.88</v>
      </c>
      <c r="T31" s="853">
        <v>18.260000000000002</v>
      </c>
      <c r="V31" s="853" t="str">
        <f t="shared" si="1"/>
        <v>B719</v>
      </c>
      <c r="W31" s="854"/>
      <c r="X31" s="866" t="s">
        <v>253</v>
      </c>
      <c r="Y31" s="820" t="s">
        <v>254</v>
      </c>
      <c r="Z31" s="820" t="str">
        <f t="shared" si="2"/>
        <v>.065" - .070"</v>
      </c>
      <c r="AA31" s="884" t="str">
        <f t="shared" si="5"/>
        <v>1.65 - 1.78mm</v>
      </c>
      <c r="AC31" s="866" t="s">
        <v>373</v>
      </c>
      <c r="AD31" s="820" t="s">
        <v>374</v>
      </c>
      <c r="AE31" s="820" t="str">
        <f t="shared" si="3"/>
        <v>.704" - .719"</v>
      </c>
      <c r="AF31" s="884" t="str">
        <f t="shared" si="4"/>
        <v>17.88 - 18.26mm</v>
      </c>
    </row>
    <row r="32" spans="3:32" s="80" customFormat="1" thickBot="1" x14ac:dyDescent="0.3">
      <c r="C32" s="869">
        <v>1</v>
      </c>
      <c r="E32" s="860">
        <v>7.0000000000000007E-2</v>
      </c>
      <c r="F32" s="860">
        <v>7.4999999999999997E-2</v>
      </c>
      <c r="G32" s="849"/>
      <c r="H32" s="861">
        <v>1.78</v>
      </c>
      <c r="I32" s="861">
        <v>1.91</v>
      </c>
      <c r="K32" s="862" t="s">
        <v>255</v>
      </c>
      <c r="L32" s="854"/>
      <c r="M32" s="854"/>
      <c r="N32" s="496">
        <f t="shared" si="0"/>
        <v>7</v>
      </c>
      <c r="P32" s="855">
        <v>0.71899999999999997</v>
      </c>
      <c r="Q32" s="855">
        <v>0.73499999999999999</v>
      </c>
      <c r="R32" s="515"/>
      <c r="S32" s="853">
        <v>18.260000000000002</v>
      </c>
      <c r="T32" s="853">
        <v>18.670000000000002</v>
      </c>
      <c r="V32" s="853" t="str">
        <f t="shared" si="1"/>
        <v>B735</v>
      </c>
      <c r="W32" s="854"/>
      <c r="X32" s="870" t="s">
        <v>255</v>
      </c>
      <c r="Y32" s="871" t="s">
        <v>256</v>
      </c>
      <c r="Z32" s="871" t="str">
        <f t="shared" si="2"/>
        <v>.070" - .075"</v>
      </c>
      <c r="AA32" s="885" t="str">
        <f t="shared" si="5"/>
        <v>1.78 - 1.91mm</v>
      </c>
      <c r="AC32" s="863" t="s">
        <v>375</v>
      </c>
      <c r="AD32" s="864" t="s">
        <v>376</v>
      </c>
      <c r="AE32" s="864" t="str">
        <f t="shared" si="3"/>
        <v>.719" - .735"</v>
      </c>
      <c r="AF32" s="883" t="str">
        <f t="shared" si="4"/>
        <v>18.26 - 18.67mm</v>
      </c>
    </row>
    <row r="33" spans="3:32" s="80" customFormat="1" ht="15" x14ac:dyDescent="0.25">
      <c r="C33" s="849">
        <v>2</v>
      </c>
      <c r="E33" s="851">
        <v>7.4999999999999997E-2</v>
      </c>
      <c r="F33" s="851">
        <v>8.2000000000000003E-2</v>
      </c>
      <c r="G33" s="849"/>
      <c r="H33" s="852">
        <v>1.91</v>
      </c>
      <c r="I33" s="852">
        <v>2.08</v>
      </c>
      <c r="K33" s="853" t="s">
        <v>257</v>
      </c>
      <c r="L33" s="854"/>
      <c r="M33" s="854"/>
      <c r="N33" s="496">
        <f t="shared" si="0"/>
        <v>7</v>
      </c>
      <c r="P33" s="855">
        <v>0.73499999999999999</v>
      </c>
      <c r="Q33" s="855">
        <v>0.75</v>
      </c>
      <c r="R33" s="515"/>
      <c r="S33" s="853">
        <v>18.670000000000002</v>
      </c>
      <c r="T33" s="853">
        <v>19.05</v>
      </c>
      <c r="V33" s="867" t="str">
        <f t="shared" si="1"/>
        <v>B750</v>
      </c>
      <c r="W33" s="854"/>
      <c r="X33" s="858" t="s">
        <v>257</v>
      </c>
      <c r="Y33" s="859" t="s">
        <v>258</v>
      </c>
      <c r="Z33" s="859" t="str">
        <f t="shared" si="2"/>
        <v>.075" - .082"</v>
      </c>
      <c r="AA33" s="886" t="str">
        <f t="shared" si="5"/>
        <v>1.91 - 2.08mm</v>
      </c>
      <c r="AC33" s="866" t="s">
        <v>377</v>
      </c>
      <c r="AD33" s="820" t="s">
        <v>378</v>
      </c>
      <c r="AE33" s="820" t="str">
        <f t="shared" si="3"/>
        <v>.735" - .750"</v>
      </c>
      <c r="AF33" s="884" t="str">
        <f t="shared" si="4"/>
        <v>18.67 - 19.05mm</v>
      </c>
    </row>
    <row r="34" spans="3:32" s="80" customFormat="1" thickBot="1" x14ac:dyDescent="0.3">
      <c r="C34" s="849">
        <v>2</v>
      </c>
      <c r="E34" s="851">
        <v>8.2000000000000003E-2</v>
      </c>
      <c r="F34" s="851">
        <v>8.8999999999999996E-2</v>
      </c>
      <c r="G34" s="849"/>
      <c r="H34" s="852">
        <v>2.08</v>
      </c>
      <c r="I34" s="852">
        <v>2.2599999999999998</v>
      </c>
      <c r="K34" s="853" t="s">
        <v>259</v>
      </c>
      <c r="L34" s="854"/>
      <c r="M34" s="854"/>
      <c r="N34" s="476">
        <f t="shared" si="0"/>
        <v>7</v>
      </c>
      <c r="P34" s="868">
        <v>0.75</v>
      </c>
      <c r="Q34" s="868">
        <v>0.76</v>
      </c>
      <c r="R34" s="515"/>
      <c r="S34" s="862">
        <v>19.05</v>
      </c>
      <c r="T34" s="862">
        <v>19.3</v>
      </c>
      <c r="V34" s="862" t="str">
        <f t="shared" si="1"/>
        <v>B760</v>
      </c>
      <c r="W34" s="854"/>
      <c r="X34" s="863" t="s">
        <v>259</v>
      </c>
      <c r="Y34" s="864" t="s">
        <v>260</v>
      </c>
      <c r="Z34" s="864" t="str">
        <f t="shared" si="2"/>
        <v>.082" - .089"</v>
      </c>
      <c r="AA34" s="883" t="str">
        <f t="shared" si="5"/>
        <v>2.08 - 2.26mm</v>
      </c>
      <c r="AC34" s="872" t="s">
        <v>379</v>
      </c>
      <c r="AD34" s="873" t="s">
        <v>380</v>
      </c>
      <c r="AE34" s="873" t="str">
        <f t="shared" si="3"/>
        <v>.750" - .760"</v>
      </c>
      <c r="AF34" s="890" t="str">
        <f t="shared" si="4"/>
        <v>19.05 - 19.30mm</v>
      </c>
    </row>
    <row r="35" spans="3:32" s="80" customFormat="1" ht="15" x14ac:dyDescent="0.25">
      <c r="C35" s="849">
        <v>2</v>
      </c>
      <c r="E35" s="851">
        <v>8.8999999999999996E-2</v>
      </c>
      <c r="F35" s="851">
        <v>9.6000000000000002E-2</v>
      </c>
      <c r="G35" s="849"/>
      <c r="H35" s="852">
        <v>2.2599999999999998</v>
      </c>
      <c r="I35" s="852">
        <v>2.44</v>
      </c>
      <c r="K35" s="853" t="s">
        <v>261</v>
      </c>
      <c r="L35" s="854"/>
      <c r="M35" s="854"/>
      <c r="N35" s="496">
        <f t="shared" si="0"/>
        <v>8</v>
      </c>
      <c r="P35" s="855">
        <v>0.76</v>
      </c>
      <c r="Q35" s="855">
        <v>0.78100000000000003</v>
      </c>
      <c r="R35" s="515"/>
      <c r="S35" s="853">
        <v>19.3</v>
      </c>
      <c r="T35" s="853">
        <v>19.84</v>
      </c>
      <c r="V35" s="853" t="str">
        <f t="shared" si="1"/>
        <v>B781</v>
      </c>
      <c r="W35" s="854"/>
      <c r="X35" s="866" t="s">
        <v>261</v>
      </c>
      <c r="Y35" s="820" t="s">
        <v>262</v>
      </c>
      <c r="Z35" s="820" t="str">
        <f t="shared" si="2"/>
        <v>.089" - .096"</v>
      </c>
      <c r="AA35" s="884" t="str">
        <f t="shared" si="5"/>
        <v>2.26 - 2.44mm</v>
      </c>
      <c r="AC35" s="858" t="s">
        <v>381</v>
      </c>
      <c r="AD35" s="859" t="s">
        <v>382</v>
      </c>
      <c r="AE35" s="859" t="str">
        <f t="shared" si="3"/>
        <v>.760" - .781"</v>
      </c>
      <c r="AF35" s="886" t="str">
        <f t="shared" si="4"/>
        <v>19.30 - 19.84mm</v>
      </c>
    </row>
    <row r="36" spans="3:32" s="80" customFormat="1" ht="15" x14ac:dyDescent="0.25">
      <c r="C36" s="849">
        <v>2</v>
      </c>
      <c r="E36" s="851">
        <v>9.6000000000000002E-2</v>
      </c>
      <c r="F36" s="851">
        <v>0.10299999999999999</v>
      </c>
      <c r="G36" s="849"/>
      <c r="H36" s="852">
        <v>2.44</v>
      </c>
      <c r="I36" s="852">
        <v>2.62</v>
      </c>
      <c r="K36" s="853" t="s">
        <v>263</v>
      </c>
      <c r="L36" s="854"/>
      <c r="M36" s="854"/>
      <c r="N36" s="496">
        <f t="shared" si="0"/>
        <v>8</v>
      </c>
      <c r="P36" s="855">
        <v>0.78100000000000003</v>
      </c>
      <c r="Q36" s="855">
        <v>0.81200000000000006</v>
      </c>
      <c r="R36" s="515"/>
      <c r="S36" s="853">
        <v>19.84</v>
      </c>
      <c r="T36" s="853">
        <v>20.62</v>
      </c>
      <c r="V36" s="853" t="str">
        <f t="shared" si="1"/>
        <v>B812</v>
      </c>
      <c r="W36" s="854"/>
      <c r="X36" s="863" t="s">
        <v>263</v>
      </c>
      <c r="Y36" s="864" t="s">
        <v>264</v>
      </c>
      <c r="Z36" s="864" t="str">
        <f t="shared" si="2"/>
        <v>.096" - .103"</v>
      </c>
      <c r="AA36" s="883" t="str">
        <f t="shared" si="5"/>
        <v>2.44 - 2.62mm</v>
      </c>
      <c r="AC36" s="863" t="s">
        <v>383</v>
      </c>
      <c r="AD36" s="864" t="s">
        <v>384</v>
      </c>
      <c r="AE36" s="864" t="str">
        <f t="shared" si="3"/>
        <v>.781" - .812"</v>
      </c>
      <c r="AF36" s="883" t="str">
        <f t="shared" si="4"/>
        <v>19.84 - 20.62mm</v>
      </c>
    </row>
    <row r="37" spans="3:32" s="80" customFormat="1" ht="15" x14ac:dyDescent="0.25">
      <c r="C37" s="849">
        <v>2</v>
      </c>
      <c r="E37" s="851">
        <v>0.10299999999999999</v>
      </c>
      <c r="F37" s="851">
        <v>0.11</v>
      </c>
      <c r="G37" s="849"/>
      <c r="H37" s="852">
        <v>2.62</v>
      </c>
      <c r="I37" s="852">
        <v>2.79</v>
      </c>
      <c r="K37" s="853" t="s">
        <v>265</v>
      </c>
      <c r="L37" s="854"/>
      <c r="M37" s="854"/>
      <c r="N37" s="496">
        <f t="shared" si="0"/>
        <v>8</v>
      </c>
      <c r="P37" s="855">
        <v>0.81200000000000006</v>
      </c>
      <c r="Q37" s="855">
        <v>0.84299999999999997</v>
      </c>
      <c r="R37" s="515"/>
      <c r="S37" s="853">
        <v>20.62</v>
      </c>
      <c r="T37" s="853">
        <v>21.41</v>
      </c>
      <c r="V37" s="853" t="str">
        <f t="shared" si="1"/>
        <v>B843</v>
      </c>
      <c r="W37" s="854"/>
      <c r="X37" s="866" t="s">
        <v>265</v>
      </c>
      <c r="Y37" s="820" t="s">
        <v>266</v>
      </c>
      <c r="Z37" s="820" t="str">
        <f t="shared" si="2"/>
        <v>.103" - .110"</v>
      </c>
      <c r="AA37" s="884" t="str">
        <f t="shared" si="5"/>
        <v>2.62 - 2.79mm</v>
      </c>
      <c r="AC37" s="866" t="s">
        <v>385</v>
      </c>
      <c r="AD37" s="820" t="s">
        <v>386</v>
      </c>
      <c r="AE37" s="820" t="str">
        <f t="shared" si="3"/>
        <v>.812" - .843"</v>
      </c>
      <c r="AF37" s="884" t="str">
        <f t="shared" si="4"/>
        <v>20.62 - 21.41mm</v>
      </c>
    </row>
    <row r="38" spans="3:32" s="80" customFormat="1" ht="15" x14ac:dyDescent="0.25">
      <c r="C38" s="849">
        <v>2</v>
      </c>
      <c r="E38" s="851">
        <v>0.11</v>
      </c>
      <c r="F38" s="851">
        <v>0.11700000000000001</v>
      </c>
      <c r="G38" s="849"/>
      <c r="H38" s="852">
        <v>2.79</v>
      </c>
      <c r="I38" s="852">
        <v>2.97</v>
      </c>
      <c r="K38" s="853" t="s">
        <v>267</v>
      </c>
      <c r="L38" s="854"/>
      <c r="M38" s="854"/>
      <c r="N38" s="496">
        <f t="shared" si="0"/>
        <v>8</v>
      </c>
      <c r="P38" s="855">
        <v>0.84299999999999997</v>
      </c>
      <c r="Q38" s="855">
        <v>0.875</v>
      </c>
      <c r="R38" s="515"/>
      <c r="S38" s="853">
        <v>21.41</v>
      </c>
      <c r="T38" s="853">
        <v>22.23</v>
      </c>
      <c r="V38" s="867" t="str">
        <f t="shared" si="1"/>
        <v>B875</v>
      </c>
      <c r="W38" s="854"/>
      <c r="X38" s="863" t="s">
        <v>267</v>
      </c>
      <c r="Y38" s="864" t="s">
        <v>268</v>
      </c>
      <c r="Z38" s="864" t="str">
        <f t="shared" si="2"/>
        <v>.110" - .117"</v>
      </c>
      <c r="AA38" s="883" t="str">
        <f t="shared" si="5"/>
        <v>2.79 - 2.97mm</v>
      </c>
      <c r="AC38" s="863" t="s">
        <v>387</v>
      </c>
      <c r="AD38" s="864" t="s">
        <v>388</v>
      </c>
      <c r="AE38" s="864" t="str">
        <f t="shared" si="3"/>
        <v>.843" - .875"</v>
      </c>
      <c r="AF38" s="883" t="str">
        <f t="shared" si="4"/>
        <v>21.41 - 22.23mm</v>
      </c>
    </row>
    <row r="39" spans="3:32" s="80" customFormat="1" ht="15" x14ac:dyDescent="0.25">
      <c r="C39" s="849">
        <v>2</v>
      </c>
      <c r="E39" s="851">
        <v>0.11700000000000001</v>
      </c>
      <c r="F39" s="851">
        <v>0.124</v>
      </c>
      <c r="G39" s="849"/>
      <c r="H39" s="852">
        <v>2.97</v>
      </c>
      <c r="I39" s="852">
        <v>3.15</v>
      </c>
      <c r="K39" s="853" t="s">
        <v>269</v>
      </c>
      <c r="L39" s="854"/>
      <c r="M39" s="854"/>
      <c r="N39" s="496">
        <f t="shared" si="0"/>
        <v>8</v>
      </c>
      <c r="P39" s="855">
        <v>0.875</v>
      </c>
      <c r="Q39" s="855">
        <v>0.90600000000000003</v>
      </c>
      <c r="R39" s="515"/>
      <c r="S39" s="853">
        <v>22.23</v>
      </c>
      <c r="T39" s="853">
        <v>23.01</v>
      </c>
      <c r="V39" s="853" t="str">
        <f t="shared" si="1"/>
        <v>B906</v>
      </c>
      <c r="W39" s="854"/>
      <c r="X39" s="866" t="s">
        <v>269</v>
      </c>
      <c r="Y39" s="820" t="s">
        <v>270</v>
      </c>
      <c r="Z39" s="820" t="str">
        <f t="shared" si="2"/>
        <v>.117" - .124"</v>
      </c>
      <c r="AA39" s="884" t="str">
        <f t="shared" si="5"/>
        <v>2.97 - 3.15mm</v>
      </c>
      <c r="AC39" s="866" t="s">
        <v>389</v>
      </c>
      <c r="AD39" s="820" t="s">
        <v>390</v>
      </c>
      <c r="AE39" s="820" t="str">
        <f t="shared" si="3"/>
        <v>.875" - .906"</v>
      </c>
      <c r="AF39" s="884" t="str">
        <f t="shared" si="4"/>
        <v>22.23 - 23.01mm</v>
      </c>
    </row>
    <row r="40" spans="3:32" s="80" customFormat="1" ht="15" x14ac:dyDescent="0.25">
      <c r="C40" s="849">
        <v>2</v>
      </c>
      <c r="E40" s="851">
        <v>0.124</v>
      </c>
      <c r="F40" s="851">
        <v>0.13100000000000001</v>
      </c>
      <c r="G40" s="849"/>
      <c r="H40" s="852">
        <v>3.15</v>
      </c>
      <c r="I40" s="852">
        <v>3.33</v>
      </c>
      <c r="K40" s="853" t="s">
        <v>271</v>
      </c>
      <c r="L40" s="854"/>
      <c r="M40" s="854"/>
      <c r="N40" s="496">
        <f t="shared" si="0"/>
        <v>8</v>
      </c>
      <c r="P40" s="855">
        <v>0.90600000000000003</v>
      </c>
      <c r="Q40" s="855">
        <v>0.93700000000000006</v>
      </c>
      <c r="R40" s="515"/>
      <c r="S40" s="853">
        <v>23.01</v>
      </c>
      <c r="T40" s="853">
        <v>23.8</v>
      </c>
      <c r="V40" s="853" t="str">
        <f t="shared" si="1"/>
        <v>B937</v>
      </c>
      <c r="W40" s="854"/>
      <c r="X40" s="863" t="s">
        <v>271</v>
      </c>
      <c r="Y40" s="864" t="s">
        <v>272</v>
      </c>
      <c r="Z40" s="864" t="str">
        <f t="shared" si="2"/>
        <v>.124" - .131"</v>
      </c>
      <c r="AA40" s="883" t="str">
        <f t="shared" si="5"/>
        <v>3.15 - 3.33mm</v>
      </c>
      <c r="AC40" s="863" t="s">
        <v>391</v>
      </c>
      <c r="AD40" s="864" t="s">
        <v>392</v>
      </c>
      <c r="AE40" s="864" t="str">
        <f t="shared" si="3"/>
        <v>.906" - .937"</v>
      </c>
      <c r="AF40" s="883" t="str">
        <f t="shared" si="4"/>
        <v>23.01 - 23.80mm</v>
      </c>
    </row>
    <row r="41" spans="3:32" s="80" customFormat="1" ht="15" x14ac:dyDescent="0.25">
      <c r="C41" s="849">
        <v>2</v>
      </c>
      <c r="E41" s="851">
        <v>0.13100000000000001</v>
      </c>
      <c r="F41" s="851">
        <v>0.13800000000000001</v>
      </c>
      <c r="G41" s="849"/>
      <c r="H41" s="852">
        <v>3.33</v>
      </c>
      <c r="I41" s="852">
        <v>3.51</v>
      </c>
      <c r="K41" s="853" t="s">
        <v>273</v>
      </c>
      <c r="L41" s="854"/>
      <c r="M41" s="854"/>
      <c r="N41" s="496">
        <f t="shared" si="0"/>
        <v>8</v>
      </c>
      <c r="P41" s="855">
        <v>0.93700000000000006</v>
      </c>
      <c r="Q41" s="855">
        <v>0.96799999999999997</v>
      </c>
      <c r="R41" s="515"/>
      <c r="S41" s="853">
        <v>23.8</v>
      </c>
      <c r="T41" s="853">
        <v>24.59</v>
      </c>
      <c r="V41" s="853" t="str">
        <f t="shared" si="1"/>
        <v>B968</v>
      </c>
      <c r="W41" s="854"/>
      <c r="X41" s="866" t="s">
        <v>273</v>
      </c>
      <c r="Y41" s="820" t="s">
        <v>274</v>
      </c>
      <c r="Z41" s="820" t="str">
        <f t="shared" si="2"/>
        <v>.131" - .138"</v>
      </c>
      <c r="AA41" s="884" t="str">
        <f t="shared" si="5"/>
        <v>3.33 - 3.51mm</v>
      </c>
      <c r="AC41" s="866" t="s">
        <v>393</v>
      </c>
      <c r="AD41" s="820" t="s">
        <v>394</v>
      </c>
      <c r="AE41" s="820" t="str">
        <f t="shared" si="3"/>
        <v>.937" - .968"</v>
      </c>
      <c r="AF41" s="884" t="str">
        <f t="shared" si="4"/>
        <v>23.80 - 24.59mm</v>
      </c>
    </row>
    <row r="42" spans="3:32" s="80" customFormat="1" thickBot="1" x14ac:dyDescent="0.3">
      <c r="C42" s="849">
        <v>2</v>
      </c>
      <c r="E42" s="851">
        <v>0.13800000000000001</v>
      </c>
      <c r="F42" s="851">
        <v>0.14499999999999999</v>
      </c>
      <c r="G42" s="849"/>
      <c r="H42" s="852">
        <v>3.51</v>
      </c>
      <c r="I42" s="852">
        <v>3.68</v>
      </c>
      <c r="K42" s="853" t="s">
        <v>275</v>
      </c>
      <c r="L42" s="854"/>
      <c r="M42" s="854"/>
      <c r="N42" s="476">
        <f t="shared" si="0"/>
        <v>8</v>
      </c>
      <c r="P42" s="868">
        <v>0.96799999999999997</v>
      </c>
      <c r="Q42" s="868">
        <v>1.01</v>
      </c>
      <c r="R42" s="515"/>
      <c r="S42" s="862">
        <v>24.59</v>
      </c>
      <c r="T42" s="862">
        <v>25.65</v>
      </c>
      <c r="V42" s="862" t="str">
        <f t="shared" si="1"/>
        <v>B1000</v>
      </c>
      <c r="W42" s="854"/>
      <c r="X42" s="863" t="s">
        <v>275</v>
      </c>
      <c r="Y42" s="864" t="s">
        <v>276</v>
      </c>
      <c r="Z42" s="864" t="str">
        <f t="shared" si="2"/>
        <v>.138" - .145"</v>
      </c>
      <c r="AA42" s="883" t="str">
        <f t="shared" si="5"/>
        <v>3.51 - 3.68mm</v>
      </c>
      <c r="AC42" s="870" t="s">
        <v>395</v>
      </c>
      <c r="AD42" s="871" t="s">
        <v>396</v>
      </c>
      <c r="AE42" s="871" t="str">
        <f t="shared" si="3"/>
        <v>.968" - 1.010"</v>
      </c>
      <c r="AF42" s="885" t="str">
        <f t="shared" si="4"/>
        <v>24.59 - 25.65mm</v>
      </c>
    </row>
    <row r="43" spans="3:32" s="80" customFormat="1" ht="15" x14ac:dyDescent="0.25">
      <c r="C43" s="849">
        <v>2</v>
      </c>
      <c r="E43" s="851">
        <v>0.14499999999999999</v>
      </c>
      <c r="F43" s="851">
        <v>0.152</v>
      </c>
      <c r="G43" s="849"/>
      <c r="H43" s="852">
        <v>3.68</v>
      </c>
      <c r="I43" s="852">
        <v>3.86</v>
      </c>
      <c r="K43" s="867" t="s">
        <v>277</v>
      </c>
      <c r="N43" s="496"/>
      <c r="P43" s="515"/>
      <c r="Q43" s="515"/>
      <c r="T43" s="515"/>
      <c r="V43" s="515"/>
      <c r="X43" s="866" t="s">
        <v>277</v>
      </c>
      <c r="Y43" s="820" t="s">
        <v>278</v>
      </c>
      <c r="Z43" s="820" t="str">
        <f t="shared" si="2"/>
        <v>.145" - .152"</v>
      </c>
      <c r="AA43" s="884" t="str">
        <f t="shared" si="5"/>
        <v>3.68 - 3.86mm</v>
      </c>
      <c r="AD43" s="329"/>
      <c r="AF43" s="329"/>
    </row>
    <row r="44" spans="3:32" s="80" customFormat="1" ht="15" x14ac:dyDescent="0.25">
      <c r="C44" s="849">
        <v>2</v>
      </c>
      <c r="E44" s="851">
        <v>0.152</v>
      </c>
      <c r="F44" s="851">
        <v>0.159</v>
      </c>
      <c r="G44" s="849"/>
      <c r="H44" s="852">
        <v>3.86</v>
      </c>
      <c r="I44" s="852">
        <v>4.04</v>
      </c>
      <c r="K44" s="867" t="s">
        <v>279</v>
      </c>
      <c r="N44" s="496"/>
      <c r="P44" s="515"/>
      <c r="Q44" s="515"/>
      <c r="T44" s="515"/>
      <c r="V44" s="515"/>
      <c r="X44" s="863" t="s">
        <v>279</v>
      </c>
      <c r="Y44" s="864" t="s">
        <v>280</v>
      </c>
      <c r="Z44" s="864" t="str">
        <f t="shared" si="2"/>
        <v>.152" - .159"</v>
      </c>
      <c r="AA44" s="883" t="str">
        <f t="shared" si="5"/>
        <v>3.86 - 4.04mm</v>
      </c>
      <c r="AD44" s="329"/>
      <c r="AF44" s="329"/>
    </row>
    <row r="45" spans="3:32" s="80" customFormat="1" ht="15" x14ac:dyDescent="0.25">
      <c r="C45" s="849">
        <v>2</v>
      </c>
      <c r="E45" s="851">
        <v>0.159</v>
      </c>
      <c r="F45" s="851">
        <v>0.16600000000000001</v>
      </c>
      <c r="G45" s="849"/>
      <c r="H45" s="852">
        <v>4.04</v>
      </c>
      <c r="I45" s="852">
        <v>4.22</v>
      </c>
      <c r="K45" s="853" t="s">
        <v>281</v>
      </c>
      <c r="X45" s="866" t="s">
        <v>281</v>
      </c>
      <c r="Y45" s="820" t="s">
        <v>282</v>
      </c>
      <c r="Z45" s="820" t="str">
        <f t="shared" si="2"/>
        <v>.159" - .166"</v>
      </c>
      <c r="AA45" s="884" t="str">
        <f t="shared" si="5"/>
        <v>4.04 - 4.22mm</v>
      </c>
      <c r="AD45" s="329"/>
      <c r="AF45" s="329"/>
    </row>
    <row r="46" spans="3:32" s="80" customFormat="1" ht="15" x14ac:dyDescent="0.25">
      <c r="C46" s="849">
        <v>2</v>
      </c>
      <c r="E46" s="851">
        <v>0.16600000000000001</v>
      </c>
      <c r="F46" s="851">
        <v>0.17299999999999999</v>
      </c>
      <c r="G46" s="849"/>
      <c r="H46" s="852">
        <v>4.22</v>
      </c>
      <c r="I46" s="852">
        <v>4.3899999999999997</v>
      </c>
      <c r="K46" s="853" t="s">
        <v>283</v>
      </c>
      <c r="X46" s="863" t="s">
        <v>283</v>
      </c>
      <c r="Y46" s="864" t="s">
        <v>284</v>
      </c>
      <c r="Z46" s="864" t="str">
        <f t="shared" si="2"/>
        <v>.166" - .173"</v>
      </c>
      <c r="AA46" s="883" t="str">
        <f t="shared" si="5"/>
        <v>4.22 - 4.39mm</v>
      </c>
    </row>
    <row r="47" spans="3:32" s="80" customFormat="1" thickBot="1" x14ac:dyDescent="0.3">
      <c r="C47" s="869">
        <v>2</v>
      </c>
      <c r="E47" s="860">
        <v>0.17299999999999999</v>
      </c>
      <c r="F47" s="860">
        <v>0.18</v>
      </c>
      <c r="G47" s="849"/>
      <c r="H47" s="861">
        <v>4.3899999999999997</v>
      </c>
      <c r="I47" s="861">
        <v>4.57</v>
      </c>
      <c r="K47" s="862" t="s">
        <v>285</v>
      </c>
      <c r="X47" s="874" t="s">
        <v>285</v>
      </c>
      <c r="Y47" s="875" t="s">
        <v>286</v>
      </c>
      <c r="Z47" s="875" t="str">
        <f t="shared" si="2"/>
        <v>.173" - .180"</v>
      </c>
      <c r="AA47" s="887" t="str">
        <f t="shared" si="5"/>
        <v>4.39 - 4.57mm</v>
      </c>
    </row>
    <row r="48" spans="3:32" s="80" customFormat="1" ht="15" x14ac:dyDescent="0.25">
      <c r="C48" s="849">
        <v>3</v>
      </c>
      <c r="E48" s="851">
        <v>0.18</v>
      </c>
      <c r="F48" s="851">
        <v>0.188</v>
      </c>
      <c r="G48" s="849"/>
      <c r="H48" s="852">
        <v>4.57</v>
      </c>
      <c r="I48" s="852">
        <v>4.78</v>
      </c>
      <c r="K48" s="853" t="s">
        <v>287</v>
      </c>
      <c r="X48" s="876" t="s">
        <v>287</v>
      </c>
      <c r="Y48" s="877" t="s">
        <v>288</v>
      </c>
      <c r="Z48" s="877" t="str">
        <f t="shared" si="2"/>
        <v>.180" - .188"</v>
      </c>
      <c r="AA48" s="888" t="str">
        <f t="shared" si="5"/>
        <v>4.57 - 4.78mm</v>
      </c>
    </row>
    <row r="49" spans="1:27" s="80" customFormat="1" ht="15" x14ac:dyDescent="0.25">
      <c r="C49" s="849">
        <v>3</v>
      </c>
      <c r="E49" s="851">
        <v>0.188</v>
      </c>
      <c r="F49" s="851">
        <v>0.19600000000000001</v>
      </c>
      <c r="G49" s="849"/>
      <c r="H49" s="852">
        <v>4.78</v>
      </c>
      <c r="I49" s="852">
        <v>4.9800000000000004</v>
      </c>
      <c r="K49" s="853" t="s">
        <v>289</v>
      </c>
      <c r="X49" s="866" t="s">
        <v>289</v>
      </c>
      <c r="Y49" s="820" t="s">
        <v>290</v>
      </c>
      <c r="Z49" s="820" t="str">
        <f t="shared" si="2"/>
        <v>.188" - .196"</v>
      </c>
      <c r="AA49" s="884" t="str">
        <f t="shared" si="5"/>
        <v>4.78 - 4.98mm</v>
      </c>
    </row>
    <row r="50" spans="1:27" s="80" customFormat="1" ht="15" x14ac:dyDescent="0.25">
      <c r="C50" s="849">
        <v>3</v>
      </c>
      <c r="E50" s="851">
        <v>0.19600000000000001</v>
      </c>
      <c r="F50" s="851">
        <v>0.20399999999999999</v>
      </c>
      <c r="G50" s="849"/>
      <c r="H50" s="852">
        <v>4.9800000000000004</v>
      </c>
      <c r="I50" s="852">
        <v>5.18</v>
      </c>
      <c r="K50" s="853" t="s">
        <v>291</v>
      </c>
      <c r="X50" s="863" t="s">
        <v>291</v>
      </c>
      <c r="Y50" s="864" t="s">
        <v>292</v>
      </c>
      <c r="Z50" s="864" t="str">
        <f t="shared" si="2"/>
        <v>.196" - .204"</v>
      </c>
      <c r="AA50" s="883" t="str">
        <f t="shared" si="5"/>
        <v>4.98 - 5.18mm</v>
      </c>
    </row>
    <row r="51" spans="1:27" s="80" customFormat="1" ht="15" x14ac:dyDescent="0.25">
      <c r="C51" s="849">
        <v>3</v>
      </c>
      <c r="E51" s="851">
        <v>0.20399999999999999</v>
      </c>
      <c r="F51" s="851">
        <v>0.21199999999999999</v>
      </c>
      <c r="G51" s="849"/>
      <c r="H51" s="852">
        <v>5.18</v>
      </c>
      <c r="I51" s="852">
        <v>5.38</v>
      </c>
      <c r="K51" s="853" t="s">
        <v>293</v>
      </c>
      <c r="X51" s="866" t="s">
        <v>293</v>
      </c>
      <c r="Y51" s="820" t="s">
        <v>294</v>
      </c>
      <c r="Z51" s="820" t="str">
        <f t="shared" si="2"/>
        <v>.204" - .212"</v>
      </c>
      <c r="AA51" s="884" t="str">
        <f t="shared" si="5"/>
        <v>5.18 - 5.38mm</v>
      </c>
    </row>
    <row r="52" spans="1:27" s="80" customFormat="1" ht="15" x14ac:dyDescent="0.25">
      <c r="C52" s="849">
        <v>3</v>
      </c>
      <c r="E52" s="851">
        <v>0.21199999999999999</v>
      </c>
      <c r="F52" s="851">
        <v>0.22</v>
      </c>
      <c r="G52" s="849"/>
      <c r="H52" s="852">
        <v>5.38</v>
      </c>
      <c r="I52" s="852">
        <v>5.59</v>
      </c>
      <c r="K52" s="853" t="s">
        <v>295</v>
      </c>
      <c r="X52" s="863" t="s">
        <v>295</v>
      </c>
      <c r="Y52" s="864" t="s">
        <v>296</v>
      </c>
      <c r="Z52" s="864" t="str">
        <f t="shared" si="2"/>
        <v>.212" - .220"</v>
      </c>
      <c r="AA52" s="883" t="str">
        <f t="shared" si="5"/>
        <v>5.38 - 5.59mm</v>
      </c>
    </row>
    <row r="53" spans="1:27" s="80" customFormat="1" ht="15" x14ac:dyDescent="0.25">
      <c r="C53" s="849">
        <v>3</v>
      </c>
      <c r="E53" s="851">
        <v>0.22</v>
      </c>
      <c r="F53" s="851">
        <v>0.22800000000000001</v>
      </c>
      <c r="G53" s="849"/>
      <c r="H53" s="852">
        <v>5.59</v>
      </c>
      <c r="I53" s="852">
        <v>5.79</v>
      </c>
      <c r="K53" s="853" t="s">
        <v>297</v>
      </c>
      <c r="X53" s="866" t="s">
        <v>297</v>
      </c>
      <c r="Y53" s="820" t="s">
        <v>298</v>
      </c>
      <c r="Z53" s="820" t="str">
        <f t="shared" si="2"/>
        <v>.220" - .228"</v>
      </c>
      <c r="AA53" s="884" t="str">
        <f t="shared" si="5"/>
        <v>5.59 - 5.79mm</v>
      </c>
    </row>
    <row r="54" spans="1:27" s="80" customFormat="1" ht="15" x14ac:dyDescent="0.25">
      <c r="C54" s="849">
        <v>3</v>
      </c>
      <c r="E54" s="851">
        <v>0.22800000000000001</v>
      </c>
      <c r="F54" s="851">
        <v>0.23599999999999999</v>
      </c>
      <c r="G54" s="849"/>
      <c r="H54" s="852">
        <v>5.79</v>
      </c>
      <c r="I54" s="852">
        <v>5.99</v>
      </c>
      <c r="K54" s="853" t="s">
        <v>299</v>
      </c>
      <c r="X54" s="863" t="s">
        <v>299</v>
      </c>
      <c r="Y54" s="864" t="s">
        <v>300</v>
      </c>
      <c r="Z54" s="864" t="str">
        <f t="shared" si="2"/>
        <v>.228" - .236"</v>
      </c>
      <c r="AA54" s="883" t="str">
        <f t="shared" si="5"/>
        <v>5.79 - 5.99mm</v>
      </c>
    </row>
    <row r="55" spans="1:27" s="80" customFormat="1" ht="15" x14ac:dyDescent="0.25">
      <c r="C55" s="849">
        <v>3</v>
      </c>
      <c r="E55" s="851">
        <v>0.23599999999999999</v>
      </c>
      <c r="F55" s="851">
        <v>0.24399999999999999</v>
      </c>
      <c r="G55" s="849"/>
      <c r="H55" s="852">
        <v>5.99</v>
      </c>
      <c r="I55" s="852">
        <v>6.2</v>
      </c>
      <c r="K55" s="867" t="s">
        <v>301</v>
      </c>
      <c r="X55" s="866" t="s">
        <v>301</v>
      </c>
      <c r="Y55" s="820" t="s">
        <v>302</v>
      </c>
      <c r="Z55" s="820" t="str">
        <f t="shared" si="2"/>
        <v>.236" - .244"</v>
      </c>
      <c r="AA55" s="884" t="str">
        <f t="shared" si="5"/>
        <v>5.99 - 6.20mm</v>
      </c>
    </row>
    <row r="56" spans="1:27" s="80" customFormat="1" ht="15" x14ac:dyDescent="0.25">
      <c r="A56" s="878"/>
      <c r="B56" s="878"/>
      <c r="C56" s="849">
        <v>3</v>
      </c>
      <c r="D56" s="878"/>
      <c r="E56" s="851">
        <v>0.24399999999999999</v>
      </c>
      <c r="F56" s="851">
        <v>0.252</v>
      </c>
      <c r="G56" s="849"/>
      <c r="H56" s="852">
        <v>6.2</v>
      </c>
      <c r="I56" s="852">
        <v>6.4</v>
      </c>
      <c r="K56" s="867" t="s">
        <v>303</v>
      </c>
      <c r="X56" s="863" t="s">
        <v>303</v>
      </c>
      <c r="Y56" s="864" t="s">
        <v>304</v>
      </c>
      <c r="Z56" s="864" t="str">
        <f t="shared" si="2"/>
        <v>.244" - .252"</v>
      </c>
      <c r="AA56" s="883" t="str">
        <f t="shared" si="5"/>
        <v>6.20 - 6.40mm</v>
      </c>
    </row>
    <row r="57" spans="1:27" s="80" customFormat="1" ht="15" x14ac:dyDescent="0.25">
      <c r="C57" s="849">
        <v>3</v>
      </c>
      <c r="E57" s="851">
        <v>0.252</v>
      </c>
      <c r="F57" s="851">
        <v>0.26100000000000001</v>
      </c>
      <c r="G57" s="849"/>
      <c r="H57" s="852">
        <v>6.4</v>
      </c>
      <c r="I57" s="852">
        <v>6.63</v>
      </c>
      <c r="K57" s="853" t="s">
        <v>305</v>
      </c>
      <c r="X57" s="866" t="s">
        <v>305</v>
      </c>
      <c r="Y57" s="820" t="s">
        <v>306</v>
      </c>
      <c r="Z57" s="820" t="str">
        <f t="shared" si="2"/>
        <v>.252" - .261"</v>
      </c>
      <c r="AA57" s="884" t="str">
        <f t="shared" si="5"/>
        <v>6.40 - 6.63mm</v>
      </c>
    </row>
    <row r="58" spans="1:27" s="80" customFormat="1" ht="15" x14ac:dyDescent="0.25">
      <c r="C58" s="849">
        <v>3</v>
      </c>
      <c r="E58" s="851">
        <v>0.26100000000000001</v>
      </c>
      <c r="F58" s="851">
        <v>0.27100000000000002</v>
      </c>
      <c r="G58" s="849"/>
      <c r="H58" s="852">
        <v>6.63</v>
      </c>
      <c r="I58" s="852">
        <v>6.88</v>
      </c>
      <c r="K58" s="853" t="s">
        <v>307</v>
      </c>
      <c r="X58" s="863" t="s">
        <v>307</v>
      </c>
      <c r="Y58" s="864" t="s">
        <v>308</v>
      </c>
      <c r="Z58" s="864" t="str">
        <f t="shared" si="2"/>
        <v>.261" - .271"</v>
      </c>
      <c r="AA58" s="883" t="str">
        <f t="shared" si="5"/>
        <v>6.63 - 6.88mm</v>
      </c>
    </row>
    <row r="59" spans="1:27" s="80" customFormat="1" thickBot="1" x14ac:dyDescent="0.3">
      <c r="C59" s="869">
        <v>3</v>
      </c>
      <c r="E59" s="860">
        <v>0.27100000000000002</v>
      </c>
      <c r="F59" s="860">
        <v>0.28100000000000003</v>
      </c>
      <c r="G59" s="849"/>
      <c r="H59" s="861">
        <v>6.88</v>
      </c>
      <c r="I59" s="861">
        <v>7.14</v>
      </c>
      <c r="K59" s="862" t="s">
        <v>309</v>
      </c>
      <c r="X59" s="874" t="s">
        <v>309</v>
      </c>
      <c r="Y59" s="875" t="s">
        <v>310</v>
      </c>
      <c r="Z59" s="875" t="str">
        <f t="shared" si="2"/>
        <v>.271" - .281"</v>
      </c>
      <c r="AA59" s="887" t="str">
        <f t="shared" si="5"/>
        <v>6.88 - 7.14mm</v>
      </c>
    </row>
    <row r="60" spans="1:27" s="80" customFormat="1" ht="15" x14ac:dyDescent="0.25">
      <c r="C60" s="849">
        <v>4</v>
      </c>
      <c r="E60" s="851">
        <v>0.28100000000000003</v>
      </c>
      <c r="F60" s="851">
        <v>0.29099999999999998</v>
      </c>
      <c r="G60" s="849"/>
      <c r="H60" s="852">
        <v>7.14</v>
      </c>
      <c r="I60" s="852">
        <v>7.39</v>
      </c>
      <c r="K60" s="853" t="s">
        <v>311</v>
      </c>
      <c r="X60" s="876" t="s">
        <v>311</v>
      </c>
      <c r="Y60" s="877" t="s">
        <v>312</v>
      </c>
      <c r="Z60" s="877" t="str">
        <f t="shared" si="2"/>
        <v>.281" - .291"</v>
      </c>
      <c r="AA60" s="888" t="str">
        <f t="shared" si="5"/>
        <v>7.14 - 7.39mm</v>
      </c>
    </row>
    <row r="61" spans="1:27" s="80" customFormat="1" ht="15" x14ac:dyDescent="0.25">
      <c r="C61" s="849">
        <v>4</v>
      </c>
      <c r="E61" s="851">
        <v>0.29099999999999998</v>
      </c>
      <c r="F61" s="851">
        <v>0.30099999999999999</v>
      </c>
      <c r="G61" s="849"/>
      <c r="H61" s="852">
        <v>7.39</v>
      </c>
      <c r="I61" s="852">
        <v>7.65</v>
      </c>
      <c r="K61" s="853" t="s">
        <v>313</v>
      </c>
      <c r="X61" s="866" t="s">
        <v>313</v>
      </c>
      <c r="Y61" s="820" t="s">
        <v>314</v>
      </c>
      <c r="Z61" s="820" t="str">
        <f t="shared" si="2"/>
        <v>.291" - .301"</v>
      </c>
      <c r="AA61" s="884" t="str">
        <f t="shared" si="5"/>
        <v>7.39 - 7.65mm</v>
      </c>
    </row>
    <row r="62" spans="1:27" s="80" customFormat="1" ht="15" x14ac:dyDescent="0.25">
      <c r="C62" s="849">
        <v>4</v>
      </c>
      <c r="E62" s="851">
        <v>0.30099999999999999</v>
      </c>
      <c r="F62" s="851">
        <v>0.311</v>
      </c>
      <c r="G62" s="849"/>
      <c r="H62" s="852">
        <v>7.65</v>
      </c>
      <c r="I62" s="852">
        <v>7.9</v>
      </c>
      <c r="K62" s="853" t="s">
        <v>315</v>
      </c>
      <c r="X62" s="863" t="s">
        <v>315</v>
      </c>
      <c r="Y62" s="864" t="s">
        <v>316</v>
      </c>
      <c r="Z62" s="864" t="str">
        <f t="shared" si="2"/>
        <v>.301" - .311"</v>
      </c>
      <c r="AA62" s="883" t="str">
        <f t="shared" si="5"/>
        <v>7.65 - 7.90mm</v>
      </c>
    </row>
    <row r="63" spans="1:27" s="80" customFormat="1" ht="15" x14ac:dyDescent="0.25">
      <c r="C63" s="849">
        <v>4</v>
      </c>
      <c r="E63" s="851">
        <v>0.311</v>
      </c>
      <c r="F63" s="851">
        <v>0.32100000000000001</v>
      </c>
      <c r="G63" s="849"/>
      <c r="H63" s="852">
        <v>7.9</v>
      </c>
      <c r="I63" s="852">
        <v>8.15</v>
      </c>
      <c r="K63" s="853" t="s">
        <v>317</v>
      </c>
      <c r="X63" s="866" t="s">
        <v>317</v>
      </c>
      <c r="Y63" s="820" t="s">
        <v>318</v>
      </c>
      <c r="Z63" s="820" t="str">
        <f t="shared" si="2"/>
        <v>.311" - .321"</v>
      </c>
      <c r="AA63" s="884" t="str">
        <f t="shared" si="5"/>
        <v>7.90 - 8.15mm</v>
      </c>
    </row>
    <row r="64" spans="1:27" s="80" customFormat="1" ht="15" x14ac:dyDescent="0.25">
      <c r="C64" s="849">
        <v>4</v>
      </c>
      <c r="E64" s="851">
        <v>0.32100000000000001</v>
      </c>
      <c r="F64" s="851">
        <v>0.33100000000000002</v>
      </c>
      <c r="G64" s="849"/>
      <c r="H64" s="852">
        <v>8.15</v>
      </c>
      <c r="I64" s="852">
        <v>8.41</v>
      </c>
      <c r="K64" s="853" t="s">
        <v>319</v>
      </c>
      <c r="X64" s="863" t="s">
        <v>319</v>
      </c>
      <c r="Y64" s="864" t="s">
        <v>320</v>
      </c>
      <c r="Z64" s="864" t="str">
        <f t="shared" si="2"/>
        <v>.321" - .331"</v>
      </c>
      <c r="AA64" s="883" t="str">
        <f t="shared" si="5"/>
        <v>8.15 - 8.41mm</v>
      </c>
    </row>
    <row r="65" spans="3:27" s="80" customFormat="1" ht="15" x14ac:dyDescent="0.25">
      <c r="C65" s="849">
        <v>4</v>
      </c>
      <c r="E65" s="851">
        <v>0.33100000000000002</v>
      </c>
      <c r="F65" s="851">
        <v>0.34100000000000003</v>
      </c>
      <c r="G65" s="849"/>
      <c r="H65" s="852">
        <v>8.41</v>
      </c>
      <c r="I65" s="852">
        <v>8.66</v>
      </c>
      <c r="K65" s="853" t="s">
        <v>321</v>
      </c>
      <c r="X65" s="866" t="s">
        <v>321</v>
      </c>
      <c r="Y65" s="820" t="s">
        <v>322</v>
      </c>
      <c r="Z65" s="820" t="str">
        <f t="shared" si="2"/>
        <v>.331" - .341"</v>
      </c>
      <c r="AA65" s="884" t="str">
        <f t="shared" si="5"/>
        <v>8.41 - 8.66mm</v>
      </c>
    </row>
    <row r="66" spans="3:27" s="80" customFormat="1" ht="15" x14ac:dyDescent="0.25">
      <c r="C66" s="849">
        <v>4</v>
      </c>
      <c r="E66" s="851">
        <v>0.34100000000000003</v>
      </c>
      <c r="F66" s="851">
        <v>0.35099999999999998</v>
      </c>
      <c r="G66" s="849"/>
      <c r="H66" s="852">
        <v>8.66</v>
      </c>
      <c r="I66" s="852">
        <v>8.92</v>
      </c>
      <c r="K66" s="853" t="s">
        <v>323</v>
      </c>
      <c r="X66" s="863" t="s">
        <v>323</v>
      </c>
      <c r="Y66" s="864" t="s">
        <v>324</v>
      </c>
      <c r="Z66" s="864" t="str">
        <f t="shared" si="2"/>
        <v>.341" - .351"</v>
      </c>
      <c r="AA66" s="883" t="str">
        <f t="shared" si="5"/>
        <v>8.66 - 8.92mm</v>
      </c>
    </row>
    <row r="67" spans="3:27" s="80" customFormat="1" ht="15" x14ac:dyDescent="0.25">
      <c r="C67" s="849">
        <v>4</v>
      </c>
      <c r="E67" s="851">
        <v>0.35099999999999998</v>
      </c>
      <c r="F67" s="851">
        <v>0.36099999999999999</v>
      </c>
      <c r="G67" s="849"/>
      <c r="H67" s="852">
        <v>8.92</v>
      </c>
      <c r="I67" s="852">
        <v>9.17</v>
      </c>
      <c r="K67" s="853" t="s">
        <v>325</v>
      </c>
      <c r="X67" s="866" t="s">
        <v>325</v>
      </c>
      <c r="Y67" s="820" t="s">
        <v>326</v>
      </c>
      <c r="Z67" s="820" t="str">
        <f t="shared" si="2"/>
        <v>.351" - .361"</v>
      </c>
      <c r="AA67" s="884" t="str">
        <f t="shared" si="5"/>
        <v>8.92 - 9.17mm</v>
      </c>
    </row>
    <row r="68" spans="3:27" s="80" customFormat="1" ht="15" x14ac:dyDescent="0.25">
      <c r="C68" s="849">
        <v>4</v>
      </c>
      <c r="E68" s="851">
        <v>0.36099999999999999</v>
      </c>
      <c r="F68" s="851">
        <v>0.371</v>
      </c>
      <c r="G68" s="849"/>
      <c r="H68" s="852">
        <v>9.17</v>
      </c>
      <c r="I68" s="852">
        <v>9.42</v>
      </c>
      <c r="K68" s="867" t="s">
        <v>327</v>
      </c>
      <c r="X68" s="863" t="s">
        <v>327</v>
      </c>
      <c r="Y68" s="864" t="s">
        <v>328</v>
      </c>
      <c r="Z68" s="864" t="str">
        <f t="shared" si="2"/>
        <v>.361" - .371"</v>
      </c>
      <c r="AA68" s="883" t="str">
        <f t="shared" si="5"/>
        <v>9.17 - 9.42mm</v>
      </c>
    </row>
    <row r="69" spans="3:27" s="80" customFormat="1" ht="15" x14ac:dyDescent="0.25">
      <c r="C69" s="849">
        <v>4</v>
      </c>
      <c r="E69" s="851">
        <v>0.371</v>
      </c>
      <c r="F69" s="851">
        <v>0.38200000000000001</v>
      </c>
      <c r="G69" s="849"/>
      <c r="H69" s="852">
        <v>9.42</v>
      </c>
      <c r="I69" s="852">
        <v>9.6999999999999993</v>
      </c>
      <c r="K69" s="867" t="s">
        <v>329</v>
      </c>
      <c r="X69" s="866" t="s">
        <v>329</v>
      </c>
      <c r="Y69" s="820" t="s">
        <v>330</v>
      </c>
      <c r="Z69" s="820" t="str">
        <f t="shared" si="2"/>
        <v>.371" - .382"</v>
      </c>
      <c r="AA69" s="884" t="str">
        <f t="shared" si="5"/>
        <v>9.42 - 9.70mm</v>
      </c>
    </row>
    <row r="70" spans="3:27" s="80" customFormat="1" ht="15" x14ac:dyDescent="0.25">
      <c r="C70" s="849">
        <v>4</v>
      </c>
      <c r="E70" s="851">
        <v>0.38200000000000001</v>
      </c>
      <c r="F70" s="851">
        <v>0.39400000000000002</v>
      </c>
      <c r="G70" s="849"/>
      <c r="H70" s="852">
        <v>9.6999999999999993</v>
      </c>
      <c r="I70" s="852">
        <v>10.01</v>
      </c>
      <c r="K70" s="853" t="s">
        <v>331</v>
      </c>
      <c r="X70" s="863" t="s">
        <v>331</v>
      </c>
      <c r="Y70" s="864" t="s">
        <v>332</v>
      </c>
      <c r="Z70" s="864" t="str">
        <f t="shared" si="2"/>
        <v>.382" - .394"</v>
      </c>
      <c r="AA70" s="883" t="str">
        <f t="shared" si="5"/>
        <v>9.70 - 10.01mm</v>
      </c>
    </row>
    <row r="71" spans="3:27" s="80" customFormat="1" thickBot="1" x14ac:dyDescent="0.3">
      <c r="C71" s="869">
        <v>4</v>
      </c>
      <c r="E71" s="860">
        <v>0.39400000000000002</v>
      </c>
      <c r="F71" s="860">
        <v>0.40600000000000003</v>
      </c>
      <c r="G71" s="849"/>
      <c r="H71" s="861">
        <v>10.01</v>
      </c>
      <c r="I71" s="861">
        <v>10.31</v>
      </c>
      <c r="K71" s="862" t="s">
        <v>333</v>
      </c>
      <c r="X71" s="874" t="s">
        <v>333</v>
      </c>
      <c r="Y71" s="875" t="s">
        <v>334</v>
      </c>
      <c r="Z71" s="875" t="str">
        <f t="shared" si="2"/>
        <v>.394" - .406"</v>
      </c>
      <c r="AA71" s="887" t="str">
        <f t="shared" si="5"/>
        <v>10.01 - 10.31mm</v>
      </c>
    </row>
    <row r="72" spans="3:27" s="80" customFormat="1" ht="15" x14ac:dyDescent="0.25">
      <c r="C72" s="849">
        <v>5</v>
      </c>
      <c r="E72" s="851">
        <v>0.40600000000000003</v>
      </c>
      <c r="F72" s="851">
        <v>0.42</v>
      </c>
      <c r="G72" s="849"/>
      <c r="H72" s="852">
        <v>10.31</v>
      </c>
      <c r="I72" s="852">
        <v>10.67</v>
      </c>
      <c r="K72" s="853" t="s">
        <v>335</v>
      </c>
      <c r="X72" s="821" t="s">
        <v>335</v>
      </c>
      <c r="Y72" s="823" t="s">
        <v>336</v>
      </c>
      <c r="Z72" s="823" t="str">
        <f t="shared" si="2"/>
        <v>.406" - .420"</v>
      </c>
      <c r="AA72" s="889" t="str">
        <f t="shared" si="5"/>
        <v>10.31 - 10.67mm</v>
      </c>
    </row>
    <row r="73" spans="3:27" s="80" customFormat="1" ht="15" x14ac:dyDescent="0.25">
      <c r="C73" s="849">
        <v>5</v>
      </c>
      <c r="E73" s="851">
        <v>0.42</v>
      </c>
      <c r="F73" s="851">
        <v>0.435</v>
      </c>
      <c r="G73" s="849"/>
      <c r="H73" s="852">
        <v>10.67</v>
      </c>
      <c r="I73" s="852">
        <v>11.05</v>
      </c>
      <c r="K73" s="853" t="s">
        <v>337</v>
      </c>
      <c r="X73" s="866" t="s">
        <v>337</v>
      </c>
      <c r="Y73" s="820" t="s">
        <v>338</v>
      </c>
      <c r="Z73" s="820" t="str">
        <f t="shared" si="2"/>
        <v>.420" - .435"</v>
      </c>
      <c r="AA73" s="884" t="str">
        <f t="shared" si="5"/>
        <v>10.67 - 11.05mm</v>
      </c>
    </row>
    <row r="74" spans="3:27" s="80" customFormat="1" ht="15" x14ac:dyDescent="0.25">
      <c r="C74" s="849">
        <v>5</v>
      </c>
      <c r="E74" s="851">
        <v>0.435</v>
      </c>
      <c r="F74" s="851">
        <v>0.45</v>
      </c>
      <c r="G74" s="849"/>
      <c r="H74" s="852">
        <v>11.05</v>
      </c>
      <c r="I74" s="852">
        <v>11.43</v>
      </c>
      <c r="K74" s="853" t="s">
        <v>339</v>
      </c>
      <c r="X74" s="863" t="s">
        <v>339</v>
      </c>
      <c r="Y74" s="864" t="s">
        <v>340</v>
      </c>
      <c r="Z74" s="864" t="str">
        <f t="shared" si="2"/>
        <v>.435" - .450"</v>
      </c>
      <c r="AA74" s="883" t="str">
        <f t="shared" si="5"/>
        <v>11.05 - 11.43mm</v>
      </c>
    </row>
    <row r="75" spans="3:27" s="80" customFormat="1" ht="15" x14ac:dyDescent="0.25">
      <c r="C75" s="849">
        <v>5</v>
      </c>
      <c r="E75" s="851">
        <v>0.45</v>
      </c>
      <c r="F75" s="851">
        <v>0.46500000000000002</v>
      </c>
      <c r="G75" s="849"/>
      <c r="H75" s="852">
        <v>11.43</v>
      </c>
      <c r="I75" s="852">
        <v>11.81</v>
      </c>
      <c r="K75" s="853" t="s">
        <v>341</v>
      </c>
      <c r="X75" s="866" t="s">
        <v>341</v>
      </c>
      <c r="Y75" s="820" t="s">
        <v>342</v>
      </c>
      <c r="Z75" s="820" t="str">
        <f t="shared" si="2"/>
        <v>.450" - .465"</v>
      </c>
      <c r="AA75" s="884" t="str">
        <f t="shared" si="5"/>
        <v>11.43 - 11.81mm</v>
      </c>
    </row>
    <row r="76" spans="3:27" s="80" customFormat="1" ht="15" x14ac:dyDescent="0.25">
      <c r="C76" s="849">
        <v>5</v>
      </c>
      <c r="E76" s="851">
        <v>0.46500000000000002</v>
      </c>
      <c r="F76" s="851">
        <v>0.48</v>
      </c>
      <c r="G76" s="849"/>
      <c r="H76" s="852">
        <v>11.81</v>
      </c>
      <c r="I76" s="852">
        <v>12.19</v>
      </c>
      <c r="K76" s="853" t="s">
        <v>343</v>
      </c>
      <c r="X76" s="863" t="s">
        <v>343</v>
      </c>
      <c r="Y76" s="864" t="s">
        <v>344</v>
      </c>
      <c r="Z76" s="864" t="str">
        <f t="shared" si="2"/>
        <v>.465" - .480"</v>
      </c>
      <c r="AA76" s="883" t="str">
        <f t="shared" si="5"/>
        <v>11.81 - 12.19mm</v>
      </c>
    </row>
    <row r="77" spans="3:27" s="80" customFormat="1" ht="15" x14ac:dyDescent="0.25">
      <c r="C77" s="849">
        <v>5</v>
      </c>
      <c r="E77" s="851">
        <v>0.48</v>
      </c>
      <c r="F77" s="851">
        <v>0.495</v>
      </c>
      <c r="G77" s="849"/>
      <c r="H77" s="852">
        <v>12.19</v>
      </c>
      <c r="I77" s="852">
        <v>12.57</v>
      </c>
      <c r="K77" s="867" t="s">
        <v>345</v>
      </c>
      <c r="X77" s="866" t="s">
        <v>345</v>
      </c>
      <c r="Y77" s="820" t="s">
        <v>346</v>
      </c>
      <c r="Z77" s="820" t="str">
        <f t="shared" si="2"/>
        <v>.480" - .495"</v>
      </c>
      <c r="AA77" s="884" t="str">
        <f t="shared" si="5"/>
        <v>12.19 - 12.57mm</v>
      </c>
    </row>
    <row r="78" spans="3:27" s="80" customFormat="1" thickBot="1" x14ac:dyDescent="0.3">
      <c r="C78" s="869">
        <v>5</v>
      </c>
      <c r="E78" s="860">
        <v>0.495</v>
      </c>
      <c r="F78" s="860">
        <v>0.51</v>
      </c>
      <c r="G78" s="849"/>
      <c r="H78" s="861">
        <v>12.57</v>
      </c>
      <c r="I78" s="861">
        <v>12.95</v>
      </c>
      <c r="K78" s="862" t="s">
        <v>347</v>
      </c>
      <c r="X78" s="870" t="s">
        <v>347</v>
      </c>
      <c r="Y78" s="871" t="s">
        <v>348</v>
      </c>
      <c r="Z78" s="871" t="str">
        <f t="shared" si="2"/>
        <v>.495" - .510"</v>
      </c>
      <c r="AA78" s="885" t="str">
        <f t="shared" si="5"/>
        <v>12.57 - 12.95mm</v>
      </c>
    </row>
    <row r="79" spans="3:27" s="80" customFormat="1" ht="15" x14ac:dyDescent="0.25">
      <c r="C79" s="849">
        <v>6</v>
      </c>
      <c r="E79" s="851">
        <v>0.51</v>
      </c>
      <c r="F79" s="851">
        <v>0.53200000000000003</v>
      </c>
      <c r="G79" s="849"/>
      <c r="H79" s="852">
        <v>12.95</v>
      </c>
      <c r="I79" s="852">
        <v>13.51</v>
      </c>
      <c r="K79" s="853" t="s">
        <v>349</v>
      </c>
      <c r="Y79" s="329"/>
      <c r="AA79" s="329"/>
    </row>
    <row r="80" spans="3:27" s="80" customFormat="1" ht="15" x14ac:dyDescent="0.25">
      <c r="C80" s="849">
        <v>6</v>
      </c>
      <c r="E80" s="851">
        <v>0.54700000000000004</v>
      </c>
      <c r="F80" s="851">
        <v>0.56299999999999994</v>
      </c>
      <c r="G80" s="849"/>
      <c r="H80" s="852">
        <v>13.89</v>
      </c>
      <c r="I80" s="852">
        <v>14.3</v>
      </c>
      <c r="K80" s="853" t="s">
        <v>353</v>
      </c>
      <c r="X80" s="496" t="s">
        <v>920</v>
      </c>
      <c r="Y80" s="329"/>
      <c r="AA80" s="329"/>
    </row>
    <row r="81" spans="3:27" s="80" customFormat="1" ht="15" x14ac:dyDescent="0.25">
      <c r="C81" s="849">
        <v>6</v>
      </c>
      <c r="E81" s="851">
        <v>0.56299999999999994</v>
      </c>
      <c r="F81" s="851">
        <v>0.57899999999999996</v>
      </c>
      <c r="G81" s="849"/>
      <c r="H81" s="852">
        <v>14.3</v>
      </c>
      <c r="I81" s="852">
        <v>14.71</v>
      </c>
      <c r="K81" s="853" t="s">
        <v>355</v>
      </c>
      <c r="Y81" s="329"/>
      <c r="AA81" s="329"/>
    </row>
    <row r="82" spans="3:27" s="80" customFormat="1" ht="15" x14ac:dyDescent="0.25">
      <c r="C82" s="849">
        <v>6</v>
      </c>
      <c r="E82" s="851">
        <v>0.57899999999999996</v>
      </c>
      <c r="F82" s="851">
        <v>0.59399999999999997</v>
      </c>
      <c r="G82" s="849"/>
      <c r="H82" s="852">
        <v>14.71</v>
      </c>
      <c r="I82" s="852">
        <v>15.09</v>
      </c>
      <c r="K82" s="853" t="s">
        <v>357</v>
      </c>
      <c r="Y82" s="329"/>
      <c r="AA82" s="329"/>
    </row>
    <row r="83" spans="3:27" s="80" customFormat="1" ht="15" x14ac:dyDescent="0.25">
      <c r="C83" s="849">
        <v>6</v>
      </c>
      <c r="E83" s="851">
        <v>0.59399999999999997</v>
      </c>
      <c r="F83" s="851">
        <v>0.61</v>
      </c>
      <c r="G83" s="849"/>
      <c r="H83" s="852">
        <v>15.09</v>
      </c>
      <c r="I83" s="852">
        <v>15.49</v>
      </c>
      <c r="K83" s="853" t="s">
        <v>359</v>
      </c>
      <c r="Y83" s="329"/>
      <c r="AA83" s="329"/>
    </row>
    <row r="84" spans="3:27" s="80" customFormat="1" ht="15" x14ac:dyDescent="0.25">
      <c r="C84" s="849">
        <v>6</v>
      </c>
      <c r="E84" s="851">
        <v>0.61</v>
      </c>
      <c r="F84" s="851">
        <v>0.625</v>
      </c>
      <c r="G84" s="849"/>
      <c r="H84" s="852">
        <v>15.49</v>
      </c>
      <c r="I84" s="852">
        <v>15.88</v>
      </c>
      <c r="K84" s="867" t="s">
        <v>361</v>
      </c>
      <c r="Y84" s="329"/>
      <c r="AA84" s="329"/>
    </row>
    <row r="85" spans="3:27" s="80" customFormat="1" ht="15" x14ac:dyDescent="0.25">
      <c r="C85" s="869">
        <v>6</v>
      </c>
      <c r="E85" s="860">
        <v>0.625</v>
      </c>
      <c r="F85" s="860">
        <v>0.63500000000000001</v>
      </c>
      <c r="G85" s="849"/>
      <c r="H85" s="861">
        <v>15.88</v>
      </c>
      <c r="I85" s="861">
        <v>16.13</v>
      </c>
      <c r="K85" s="862" t="s">
        <v>363</v>
      </c>
      <c r="Y85" s="329"/>
      <c r="AA85" s="329"/>
    </row>
    <row r="86" spans="3:27" s="80" customFormat="1" ht="15" x14ac:dyDescent="0.25">
      <c r="C86" s="849">
        <v>7</v>
      </c>
      <c r="E86" s="851">
        <v>0.63500000000000001</v>
      </c>
      <c r="F86" s="851">
        <v>0.65600000000000003</v>
      </c>
      <c r="G86" s="849"/>
      <c r="H86" s="852">
        <v>16.13</v>
      </c>
      <c r="I86" s="852">
        <v>16.66</v>
      </c>
      <c r="K86" s="853" t="s">
        <v>365</v>
      </c>
      <c r="Y86" s="329"/>
      <c r="AA86" s="329"/>
    </row>
    <row r="87" spans="3:27" s="80" customFormat="1" ht="15" x14ac:dyDescent="0.25">
      <c r="C87" s="849">
        <v>7</v>
      </c>
      <c r="E87" s="851">
        <v>0.65600000000000003</v>
      </c>
      <c r="F87" s="851">
        <v>0.67200000000000004</v>
      </c>
      <c r="G87" s="849"/>
      <c r="H87" s="852">
        <v>16.66</v>
      </c>
      <c r="I87" s="852">
        <v>17.07</v>
      </c>
      <c r="K87" s="853" t="s">
        <v>367</v>
      </c>
      <c r="Y87" s="329"/>
      <c r="AA87" s="329"/>
    </row>
    <row r="88" spans="3:27" s="80" customFormat="1" ht="15" x14ac:dyDescent="0.25">
      <c r="C88" s="849">
        <v>7</v>
      </c>
      <c r="E88" s="851">
        <v>0.67200000000000004</v>
      </c>
      <c r="F88" s="851">
        <v>0.68799999999999994</v>
      </c>
      <c r="G88" s="849"/>
      <c r="H88" s="852">
        <v>17.07</v>
      </c>
      <c r="I88" s="852">
        <v>17.48</v>
      </c>
      <c r="K88" s="853" t="s">
        <v>369</v>
      </c>
      <c r="Y88" s="329"/>
      <c r="AA88" s="329"/>
    </row>
    <row r="89" spans="3:27" s="80" customFormat="1" ht="15" x14ac:dyDescent="0.25">
      <c r="C89" s="849">
        <v>7</v>
      </c>
      <c r="E89" s="851">
        <v>0.68799999999999994</v>
      </c>
      <c r="F89" s="851">
        <v>0.70399999999999996</v>
      </c>
      <c r="G89" s="849"/>
      <c r="H89" s="852">
        <v>17.48</v>
      </c>
      <c r="I89" s="852">
        <v>17.88</v>
      </c>
      <c r="K89" s="853" t="s">
        <v>371</v>
      </c>
      <c r="Y89" s="329"/>
      <c r="AA89" s="329"/>
    </row>
    <row r="90" spans="3:27" s="80" customFormat="1" ht="15" x14ac:dyDescent="0.25">
      <c r="C90" s="849">
        <v>7</v>
      </c>
      <c r="E90" s="851">
        <v>0.70399999999999996</v>
      </c>
      <c r="F90" s="851">
        <v>0.71899999999999997</v>
      </c>
      <c r="G90" s="849"/>
      <c r="H90" s="852">
        <v>17.88</v>
      </c>
      <c r="I90" s="852">
        <v>18.260000000000002</v>
      </c>
      <c r="K90" s="853" t="s">
        <v>373</v>
      </c>
      <c r="Y90" s="329"/>
      <c r="AA90" s="329"/>
    </row>
    <row r="91" spans="3:27" s="80" customFormat="1" ht="15" x14ac:dyDescent="0.25">
      <c r="C91" s="849">
        <v>7</v>
      </c>
      <c r="E91" s="851">
        <v>0.71899999999999997</v>
      </c>
      <c r="F91" s="851">
        <v>0.73499999999999999</v>
      </c>
      <c r="G91" s="849"/>
      <c r="H91" s="852">
        <v>18.260000000000002</v>
      </c>
      <c r="I91" s="852">
        <v>18.670000000000002</v>
      </c>
      <c r="K91" s="853" t="s">
        <v>375</v>
      </c>
      <c r="Y91" s="329"/>
      <c r="AA91" s="329"/>
    </row>
    <row r="92" spans="3:27" s="80" customFormat="1" ht="15" x14ac:dyDescent="0.25">
      <c r="C92" s="849">
        <v>7</v>
      </c>
      <c r="E92" s="851">
        <v>0.73499999999999999</v>
      </c>
      <c r="F92" s="851">
        <v>0.75</v>
      </c>
      <c r="G92" s="849"/>
      <c r="H92" s="852">
        <v>18.670000000000002</v>
      </c>
      <c r="I92" s="852">
        <v>19.05</v>
      </c>
      <c r="K92" s="867" t="s">
        <v>377</v>
      </c>
      <c r="Y92" s="329"/>
      <c r="AA92" s="329"/>
    </row>
    <row r="93" spans="3:27" s="80" customFormat="1" ht="15" x14ac:dyDescent="0.25">
      <c r="C93" s="869">
        <v>7</v>
      </c>
      <c r="E93" s="860">
        <v>0.75</v>
      </c>
      <c r="F93" s="860">
        <v>0.76</v>
      </c>
      <c r="G93" s="849"/>
      <c r="H93" s="861">
        <v>19.05</v>
      </c>
      <c r="I93" s="861">
        <v>19.3</v>
      </c>
      <c r="K93" s="862" t="s">
        <v>379</v>
      </c>
      <c r="Y93" s="329"/>
      <c r="AA93" s="329"/>
    </row>
    <row r="94" spans="3:27" s="80" customFormat="1" ht="15" x14ac:dyDescent="0.25">
      <c r="C94" s="849">
        <v>8</v>
      </c>
      <c r="E94" s="851">
        <v>0.76</v>
      </c>
      <c r="F94" s="851">
        <v>0.78100000000000003</v>
      </c>
      <c r="G94" s="849"/>
      <c r="H94" s="852">
        <v>19.3</v>
      </c>
      <c r="I94" s="852">
        <v>19.84</v>
      </c>
      <c r="K94" s="853" t="s">
        <v>381</v>
      </c>
      <c r="Y94" s="329"/>
      <c r="AA94" s="329"/>
    </row>
    <row r="95" spans="3:27" s="80" customFormat="1" ht="15" x14ac:dyDescent="0.25">
      <c r="C95" s="849">
        <v>8</v>
      </c>
      <c r="E95" s="851">
        <v>0.78100000000000003</v>
      </c>
      <c r="F95" s="851">
        <v>0.81200000000000006</v>
      </c>
      <c r="G95" s="849"/>
      <c r="H95" s="852">
        <v>19.84</v>
      </c>
      <c r="I95" s="852">
        <v>20.62</v>
      </c>
      <c r="K95" s="853" t="s">
        <v>383</v>
      </c>
      <c r="Y95" s="329"/>
      <c r="AA95" s="329"/>
    </row>
    <row r="96" spans="3:27" s="80" customFormat="1" ht="15" x14ac:dyDescent="0.25">
      <c r="C96" s="849">
        <v>8</v>
      </c>
      <c r="E96" s="851">
        <v>0.81200000000000006</v>
      </c>
      <c r="F96" s="851">
        <v>0.84299999999999997</v>
      </c>
      <c r="G96" s="849"/>
      <c r="H96" s="852">
        <v>20.62</v>
      </c>
      <c r="I96" s="852">
        <v>21.41</v>
      </c>
      <c r="K96" s="853" t="s">
        <v>385</v>
      </c>
      <c r="Y96" s="329"/>
      <c r="AA96" s="329"/>
    </row>
    <row r="97" spans="3:27" s="80" customFormat="1" ht="15" x14ac:dyDescent="0.25">
      <c r="C97" s="849">
        <v>8</v>
      </c>
      <c r="E97" s="851">
        <v>0.84299999999999997</v>
      </c>
      <c r="F97" s="851">
        <v>0.875</v>
      </c>
      <c r="G97" s="849"/>
      <c r="H97" s="852">
        <v>21.41</v>
      </c>
      <c r="I97" s="852">
        <v>22.23</v>
      </c>
      <c r="K97" s="867" t="s">
        <v>387</v>
      </c>
      <c r="Y97" s="329"/>
      <c r="AA97" s="329"/>
    </row>
    <row r="98" spans="3:27" s="80" customFormat="1" ht="15" x14ac:dyDescent="0.25">
      <c r="C98" s="849">
        <v>8</v>
      </c>
      <c r="E98" s="851">
        <v>0.875</v>
      </c>
      <c r="F98" s="851">
        <v>0.90600000000000003</v>
      </c>
      <c r="G98" s="849"/>
      <c r="H98" s="852">
        <v>22.23</v>
      </c>
      <c r="I98" s="852">
        <v>23.01</v>
      </c>
      <c r="K98" s="853" t="s">
        <v>389</v>
      </c>
      <c r="Y98" s="329"/>
      <c r="AA98" s="329"/>
    </row>
    <row r="99" spans="3:27" s="80" customFormat="1" ht="15" x14ac:dyDescent="0.25">
      <c r="C99" s="849">
        <v>8</v>
      </c>
      <c r="E99" s="851">
        <v>0.90600000000000003</v>
      </c>
      <c r="F99" s="851">
        <v>0.93700000000000006</v>
      </c>
      <c r="G99" s="849"/>
      <c r="H99" s="852">
        <v>23.01</v>
      </c>
      <c r="I99" s="852">
        <v>23.8</v>
      </c>
      <c r="K99" s="853" t="s">
        <v>391</v>
      </c>
      <c r="Y99" s="329"/>
      <c r="AA99" s="329"/>
    </row>
    <row r="100" spans="3:27" s="80" customFormat="1" ht="15" x14ac:dyDescent="0.25">
      <c r="C100" s="849">
        <v>8</v>
      </c>
      <c r="E100" s="851">
        <v>0.93700000000000006</v>
      </c>
      <c r="F100" s="851">
        <v>0.96799999999999997</v>
      </c>
      <c r="G100" s="849"/>
      <c r="H100" s="852">
        <v>23.8</v>
      </c>
      <c r="I100" s="852">
        <v>24.59</v>
      </c>
      <c r="K100" s="853" t="s">
        <v>393</v>
      </c>
      <c r="Y100" s="329"/>
      <c r="AA100" s="329"/>
    </row>
    <row r="101" spans="3:27" s="80" customFormat="1" ht="15" x14ac:dyDescent="0.25">
      <c r="C101" s="869">
        <v>8</v>
      </c>
      <c r="E101" s="860">
        <v>0.96799999999999997</v>
      </c>
      <c r="F101" s="860">
        <v>1.01</v>
      </c>
      <c r="G101" s="849"/>
      <c r="H101" s="861">
        <v>24.59</v>
      </c>
      <c r="I101" s="861">
        <v>25.65</v>
      </c>
      <c r="K101" s="862" t="s">
        <v>395</v>
      </c>
      <c r="Y101" s="329"/>
      <c r="AA101" s="329"/>
    </row>
    <row r="102" spans="3:27" s="80" customFormat="1" ht="15" x14ac:dyDescent="0.25">
      <c r="C102" s="496"/>
      <c r="E102" s="849"/>
      <c r="F102" s="849"/>
      <c r="G102" s="496"/>
      <c r="H102" s="496"/>
      <c r="I102" s="849"/>
      <c r="K102" s="515"/>
      <c r="Y102" s="329"/>
      <c r="AA102" s="329"/>
    </row>
    <row r="103" spans="3:27" s="80" customFormat="1" ht="15" x14ac:dyDescent="0.25">
      <c r="C103" s="496"/>
      <c r="E103" s="849"/>
      <c r="F103" s="849"/>
      <c r="G103" s="496"/>
      <c r="H103" s="496"/>
      <c r="I103" s="849"/>
      <c r="K103" s="515"/>
      <c r="Y103" s="329"/>
      <c r="AA103" s="329"/>
    </row>
    <row r="104" spans="3:27" s="80" customFormat="1" ht="15" x14ac:dyDescent="0.25">
      <c r="C104" s="496"/>
      <c r="E104" s="515"/>
      <c r="F104" s="515"/>
      <c r="I104" s="515"/>
      <c r="K104" s="515"/>
      <c r="Y104" s="329"/>
      <c r="AA104" s="329"/>
    </row>
    <row r="105" spans="3:27" x14ac:dyDescent="0.25">
      <c r="X105"/>
      <c r="Y105" s="11"/>
      <c r="Z105"/>
      <c r="AA105" s="11"/>
    </row>
    <row r="106" spans="3:27" x14ac:dyDescent="0.25">
      <c r="X106"/>
      <c r="Y106" s="11"/>
      <c r="Z106"/>
      <c r="AA106" s="11"/>
    </row>
    <row r="107" spans="3:27" x14ac:dyDescent="0.25">
      <c r="X107"/>
      <c r="Y107" s="11"/>
      <c r="Z107"/>
      <c r="AA107" s="11"/>
    </row>
  </sheetData>
  <sheetProtection algorithmName="SHA-512" hashValue="c5/cCA0LpTUyhgUjqAsgMyn3Au5PSSLy4cYSKVDsBXgds0tsDJ9XRBpC6WdLrG0ghW7CLICLT0PQgBPg3+ppoA==" saltValue="M0fJF685UuhAo1hSiguLXA==" spinCount="100000" sheet="1" objects="1" scenarios="1"/>
  <mergeCells count="4">
    <mergeCell ref="X17:X18"/>
    <mergeCell ref="Y17:Y18"/>
    <mergeCell ref="AC17:AC18"/>
    <mergeCell ref="AD17:AD18"/>
  </mergeCells>
  <pageMargins left="0.25" right="0.25" top="0.25" bottom="0.25" header="0.3" footer="0.3"/>
  <pageSetup scale="72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6FED7-C748-422E-A6EA-A36A5DCDB922}">
  <sheetPr codeName="Sheet25">
    <pageSetUpPr autoPageBreaks="0"/>
  </sheetPr>
  <dimension ref="C1:T70"/>
  <sheetViews>
    <sheetView showGridLines="0" zoomScale="90" zoomScaleNormal="90" workbookViewId="0">
      <selection activeCell="R18" sqref="R18"/>
    </sheetView>
  </sheetViews>
  <sheetFormatPr defaultRowHeight="15.75" outlineLevelCol="1" x14ac:dyDescent="0.25"/>
  <cols>
    <col min="1" max="2" width="1.7109375" customWidth="1"/>
    <col min="3" max="3" width="12" style="2" hidden="1" customWidth="1" outlineLevel="1"/>
    <col min="4" max="5" width="11.140625" style="2" hidden="1" customWidth="1" outlineLevel="1"/>
    <col min="6" max="6" width="18.140625" hidden="1" customWidth="1" outlineLevel="1"/>
    <col min="7" max="7" width="1.7109375" hidden="1" customWidth="1" outlineLevel="1"/>
    <col min="8" max="8" width="11.85546875" hidden="1" customWidth="1" outlineLevel="1"/>
    <col min="9" max="9" width="1.7109375" hidden="1" customWidth="1" outlineLevel="1"/>
    <col min="10" max="12" width="11.85546875" hidden="1" customWidth="1" outlineLevel="1"/>
    <col min="13" max="13" width="1.7109375" hidden="1" customWidth="1" outlineLevel="1"/>
    <col min="14" max="16" width="12.28515625" hidden="1" customWidth="1" outlineLevel="1"/>
    <col min="17" max="17" width="1.7109375" hidden="1" customWidth="1" outlineLevel="1"/>
    <col min="18" max="18" width="18.42578125" style="9" customWidth="1" collapsed="1"/>
    <col min="19" max="19" width="37.28515625" style="9" customWidth="1"/>
    <col min="20" max="20" width="17.7109375" customWidth="1"/>
  </cols>
  <sheetData>
    <row r="1" spans="3:20" ht="5.0999999999999996" customHeight="1" x14ac:dyDescent="0.25"/>
    <row r="2" spans="3:20" ht="21" x14ac:dyDescent="0.35">
      <c r="C2" s="41" t="s">
        <v>780</v>
      </c>
      <c r="R2" s="1" t="s">
        <v>410</v>
      </c>
    </row>
    <row r="3" spans="3:20" ht="15.6" customHeight="1" x14ac:dyDescent="0.25">
      <c r="R3"/>
      <c r="S3"/>
    </row>
    <row r="4" spans="3:20" thickBot="1" x14ac:dyDescent="0.3">
      <c r="C4" s="743" t="s">
        <v>893</v>
      </c>
      <c r="D4" s="743" t="s">
        <v>894</v>
      </c>
      <c r="N4" s="734" t="s">
        <v>632</v>
      </c>
      <c r="O4" s="734" t="s">
        <v>781</v>
      </c>
      <c r="R4" s="35"/>
      <c r="S4" s="35"/>
    </row>
    <row r="5" spans="3:20" ht="15" x14ac:dyDescent="0.25">
      <c r="C5" s="2">
        <v>280</v>
      </c>
      <c r="D5" s="2" t="s">
        <v>855</v>
      </c>
      <c r="H5" s="13"/>
      <c r="I5" s="13"/>
      <c r="J5" s="10" t="s">
        <v>632</v>
      </c>
      <c r="K5" s="10" t="s">
        <v>633</v>
      </c>
      <c r="L5" s="733" t="s">
        <v>636</v>
      </c>
      <c r="M5" s="733"/>
      <c r="N5" s="488">
        <v>0.3</v>
      </c>
      <c r="O5" s="488">
        <v>0.2</v>
      </c>
      <c r="P5" s="733" t="s">
        <v>636</v>
      </c>
      <c r="R5" s="767" t="s">
        <v>681</v>
      </c>
      <c r="S5" s="767"/>
      <c r="T5" s="769"/>
    </row>
    <row r="6" spans="3:20" ht="15" x14ac:dyDescent="0.25">
      <c r="H6" s="13"/>
      <c r="I6" s="13"/>
      <c r="R6" s="547" t="s">
        <v>9</v>
      </c>
      <c r="S6" s="548" t="s">
        <v>186</v>
      </c>
      <c r="T6" s="546" t="s">
        <v>573</v>
      </c>
    </row>
    <row r="7" spans="3:20" ht="15" x14ac:dyDescent="0.25">
      <c r="H7" s="13" t="s">
        <v>473</v>
      </c>
      <c r="I7" s="13"/>
      <c r="J7" s="673">
        <v>20</v>
      </c>
      <c r="K7" s="673">
        <v>25</v>
      </c>
      <c r="L7" s="701">
        <f>((K7-J7)/J7)</f>
        <v>0.25</v>
      </c>
      <c r="M7" s="701"/>
      <c r="N7" s="674">
        <f>(1-$N$5)*$J7</f>
        <v>14</v>
      </c>
      <c r="O7" s="674">
        <f>(1-$O$5)*$K7</f>
        <v>20</v>
      </c>
      <c r="P7" s="701">
        <f>((O7-N7)/N7)</f>
        <v>0.42857142857142855</v>
      </c>
      <c r="R7" s="198" t="s">
        <v>473</v>
      </c>
      <c r="S7" s="550" t="s">
        <v>644</v>
      </c>
      <c r="T7" s="243">
        <f>$K7</f>
        <v>25</v>
      </c>
    </row>
    <row r="8" spans="3:20" ht="15" x14ac:dyDescent="0.25">
      <c r="H8" s="13" t="s">
        <v>474</v>
      </c>
      <c r="I8" s="13"/>
      <c r="J8" s="673">
        <v>40</v>
      </c>
      <c r="K8" s="673">
        <v>45</v>
      </c>
      <c r="L8" s="701">
        <f t="shared" ref="L8:L10" si="0">((K8-J8)/J8)</f>
        <v>0.125</v>
      </c>
      <c r="M8" s="701"/>
      <c r="N8" s="674">
        <f t="shared" ref="N8:N10" si="1">(1-$N$5)*$J8</f>
        <v>28</v>
      </c>
      <c r="O8" s="674">
        <f t="shared" ref="O8:O10" si="2">(1-$O$5)*$K8</f>
        <v>36</v>
      </c>
      <c r="P8" s="701">
        <f t="shared" ref="P8:P10" si="3">((O8-N8)/N8)</f>
        <v>0.2857142857142857</v>
      </c>
      <c r="R8" s="198" t="s">
        <v>474</v>
      </c>
      <c r="S8" s="551" t="s">
        <v>645</v>
      </c>
      <c r="T8" s="243">
        <f t="shared" ref="T8:T10" si="4">$K8</f>
        <v>45</v>
      </c>
    </row>
    <row r="9" spans="3:20" ht="15" x14ac:dyDescent="0.25">
      <c r="H9" s="13" t="s">
        <v>428</v>
      </c>
      <c r="I9" s="13"/>
      <c r="J9" s="673">
        <v>450</v>
      </c>
      <c r="K9" s="673">
        <v>525</v>
      </c>
      <c r="L9" s="701">
        <f t="shared" si="0"/>
        <v>0.16666666666666666</v>
      </c>
      <c r="M9" s="701"/>
      <c r="N9" s="674">
        <f t="shared" si="1"/>
        <v>315</v>
      </c>
      <c r="O9" s="674">
        <f t="shared" si="2"/>
        <v>420</v>
      </c>
      <c r="P9" s="701">
        <f t="shared" si="3"/>
        <v>0.33333333333333331</v>
      </c>
      <c r="R9" s="194" t="s">
        <v>428</v>
      </c>
      <c r="S9" s="377" t="s">
        <v>429</v>
      </c>
      <c r="T9" s="243">
        <f t="shared" si="4"/>
        <v>525</v>
      </c>
    </row>
    <row r="10" spans="3:20" thickBot="1" x14ac:dyDescent="0.3">
      <c r="H10" s="13" t="s">
        <v>477</v>
      </c>
      <c r="I10" s="13"/>
      <c r="J10" s="673">
        <v>545</v>
      </c>
      <c r="K10" s="673">
        <v>625</v>
      </c>
      <c r="L10" s="701">
        <f t="shared" si="0"/>
        <v>0.14678899082568808</v>
      </c>
      <c r="M10" s="701"/>
      <c r="N10" s="674">
        <f t="shared" si="1"/>
        <v>381.5</v>
      </c>
      <c r="O10" s="674">
        <f t="shared" si="2"/>
        <v>500</v>
      </c>
      <c r="P10" s="701">
        <f t="shared" si="3"/>
        <v>0.31061598951507208</v>
      </c>
      <c r="R10" s="204" t="s">
        <v>477</v>
      </c>
      <c r="S10" s="552" t="s">
        <v>909</v>
      </c>
      <c r="T10" s="549">
        <f t="shared" si="4"/>
        <v>625</v>
      </c>
    </row>
    <row r="11" spans="3:20" ht="4.1500000000000004" customHeight="1" x14ac:dyDescent="0.25">
      <c r="H11" s="13"/>
      <c r="I11" s="13"/>
      <c r="L11" s="701"/>
      <c r="M11" s="701"/>
      <c r="R11" s="32"/>
      <c r="S11"/>
    </row>
    <row r="12" spans="3:20" ht="15" x14ac:dyDescent="0.25">
      <c r="H12" s="13"/>
      <c r="I12" s="13"/>
      <c r="L12" s="701"/>
      <c r="M12" s="701"/>
      <c r="R12" t="s">
        <v>497</v>
      </c>
      <c r="S12"/>
    </row>
    <row r="13" spans="3:20" ht="15" x14ac:dyDescent="0.25">
      <c r="H13" s="13"/>
      <c r="I13" s="13"/>
      <c r="L13" s="701"/>
      <c r="M13" s="701"/>
      <c r="R13" s="35"/>
      <c r="S13" s="35"/>
    </row>
    <row r="14" spans="3:20" thickBot="1" x14ac:dyDescent="0.3">
      <c r="H14" s="13"/>
      <c r="I14" s="13"/>
      <c r="L14" s="701"/>
      <c r="M14" s="701"/>
      <c r="R14" s="35"/>
      <c r="S14" s="35"/>
    </row>
    <row r="15" spans="3:20" ht="15" x14ac:dyDescent="0.25">
      <c r="H15" s="13"/>
      <c r="I15" s="13"/>
      <c r="L15" s="701"/>
      <c r="M15" s="701"/>
      <c r="R15" s="767" t="s">
        <v>498</v>
      </c>
      <c r="S15" s="767"/>
      <c r="T15" s="768"/>
    </row>
    <row r="16" spans="3:20" ht="15" x14ac:dyDescent="0.25">
      <c r="D16" s="45" t="s">
        <v>4</v>
      </c>
      <c r="E16" s="45"/>
      <c r="H16" s="13"/>
      <c r="I16" s="13"/>
      <c r="L16" s="701"/>
      <c r="M16" s="701"/>
      <c r="R16" s="387" t="s">
        <v>9</v>
      </c>
      <c r="S16" s="389" t="s">
        <v>186</v>
      </c>
      <c r="T16" s="388" t="s">
        <v>573</v>
      </c>
    </row>
    <row r="17" spans="3:20" ht="15" x14ac:dyDescent="0.25">
      <c r="C17" s="90" t="s">
        <v>500</v>
      </c>
      <c r="D17" s="465">
        <v>1.0999999999999999E-2</v>
      </c>
      <c r="E17" s="465">
        <v>0.06</v>
      </c>
      <c r="F17" s="553" t="str">
        <f>_xlfn.CONCAT(TEXT($D17,"#.000#"),""""," - ",TEXT($E17,"#.000#"),"""")</f>
        <v>.011" - .060"</v>
      </c>
      <c r="G17" s="553"/>
      <c r="H17" s="90" t="s">
        <v>411</v>
      </c>
      <c r="I17" s="90"/>
      <c r="J17" s="673">
        <v>20</v>
      </c>
      <c r="K17" s="673">
        <v>25</v>
      </c>
      <c r="L17" s="701">
        <f t="shared" ref="L17:L32" si="5">((K17-J17)/J17)</f>
        <v>0.25</v>
      </c>
      <c r="M17" s="701"/>
      <c r="N17" s="674">
        <f t="shared" ref="N17:N32" si="6">(1-$N$5)*$J17</f>
        <v>14</v>
      </c>
      <c r="O17" s="674">
        <f t="shared" ref="O17:O32" si="7">(1-$O$5)*$K17</f>
        <v>20</v>
      </c>
      <c r="P17" s="701">
        <f t="shared" ref="P17:P32" si="8">((O17-N17)/N17)</f>
        <v>0.42857142857142855</v>
      </c>
      <c r="R17" s="198" t="s">
        <v>411</v>
      </c>
      <c r="S17" s="390" t="str">
        <f>_xlfn.CONCAT($C17," Insert (","",$F17,")")</f>
        <v>M0 Insert (.011" - .060")</v>
      </c>
      <c r="T17" s="243">
        <f t="shared" ref="T17:T32" si="9">$K17</f>
        <v>25</v>
      </c>
    </row>
    <row r="18" spans="3:20" ht="15" x14ac:dyDescent="0.25">
      <c r="C18" s="90" t="s">
        <v>501</v>
      </c>
      <c r="D18" s="465">
        <v>1.15E-2</v>
      </c>
      <c r="E18" s="465">
        <v>6.0499999999999998E-2</v>
      </c>
      <c r="F18" s="553" t="str">
        <f t="shared" ref="F18:F32" si="10">_xlfn.CONCAT(TEXT($D18,"#.000#"),""""," - ",TEXT($E18,"#.000#"),"""")</f>
        <v>.0115" - .0605"</v>
      </c>
      <c r="G18" s="553"/>
      <c r="H18" s="90" t="s">
        <v>412</v>
      </c>
      <c r="I18" s="90"/>
      <c r="J18" s="673">
        <v>20</v>
      </c>
      <c r="K18" s="673">
        <v>25</v>
      </c>
      <c r="L18" s="701">
        <f t="shared" si="5"/>
        <v>0.25</v>
      </c>
      <c r="M18" s="701"/>
      <c r="N18" s="674">
        <f t="shared" si="6"/>
        <v>14</v>
      </c>
      <c r="O18" s="674">
        <f t="shared" si="7"/>
        <v>20</v>
      </c>
      <c r="P18" s="701">
        <f t="shared" si="8"/>
        <v>0.42857142857142855</v>
      </c>
      <c r="R18" s="360" t="s">
        <v>412</v>
      </c>
      <c r="S18" s="391" t="str">
        <f t="shared" ref="S18:S32" si="11">_xlfn.CONCAT($C18," Insert (","",$F18,")")</f>
        <v>M05 Insert (.0115" - .0605")</v>
      </c>
      <c r="T18" s="554">
        <f t="shared" si="9"/>
        <v>25</v>
      </c>
    </row>
    <row r="19" spans="3:20" ht="15" x14ac:dyDescent="0.25">
      <c r="C19" s="90" t="s">
        <v>502</v>
      </c>
      <c r="D19" s="465">
        <v>1.0999999999999999E-2</v>
      </c>
      <c r="E19" s="465">
        <v>0.25</v>
      </c>
      <c r="F19" s="553" t="str">
        <f t="shared" si="10"/>
        <v>.011" - .250"</v>
      </c>
      <c r="G19" s="553"/>
      <c r="H19" s="90" t="s">
        <v>413</v>
      </c>
      <c r="I19" s="90"/>
      <c r="J19" s="673">
        <v>35</v>
      </c>
      <c r="K19" s="673">
        <v>40</v>
      </c>
      <c r="L19" s="701">
        <f t="shared" si="5"/>
        <v>0.14285714285714285</v>
      </c>
      <c r="M19" s="701"/>
      <c r="N19" s="674">
        <f t="shared" si="6"/>
        <v>24.5</v>
      </c>
      <c r="O19" s="674">
        <f t="shared" si="7"/>
        <v>32</v>
      </c>
      <c r="P19" s="701">
        <f t="shared" si="8"/>
        <v>0.30612244897959184</v>
      </c>
      <c r="R19" s="198" t="s">
        <v>413</v>
      </c>
      <c r="S19" s="390" t="str">
        <f t="shared" si="11"/>
        <v>M1/C10 Insert (.011" - .250")</v>
      </c>
      <c r="T19" s="243">
        <f t="shared" si="9"/>
        <v>40</v>
      </c>
    </row>
    <row r="20" spans="3:20" ht="15" x14ac:dyDescent="0.25">
      <c r="C20" s="90" t="s">
        <v>503</v>
      </c>
      <c r="D20" s="465">
        <v>1.15E-2</v>
      </c>
      <c r="E20" s="465">
        <v>0.2505</v>
      </c>
      <c r="F20" s="553" t="str">
        <f t="shared" si="10"/>
        <v>.0115" - .2505"</v>
      </c>
      <c r="G20" s="553"/>
      <c r="H20" s="90" t="s">
        <v>414</v>
      </c>
      <c r="I20" s="90"/>
      <c r="J20" s="673">
        <v>35</v>
      </c>
      <c r="K20" s="673">
        <v>40</v>
      </c>
      <c r="L20" s="701">
        <f t="shared" si="5"/>
        <v>0.14285714285714285</v>
      </c>
      <c r="M20" s="701"/>
      <c r="N20" s="674">
        <f t="shared" si="6"/>
        <v>24.5</v>
      </c>
      <c r="O20" s="674">
        <f t="shared" si="7"/>
        <v>32</v>
      </c>
      <c r="P20" s="701">
        <f t="shared" si="8"/>
        <v>0.30612244897959184</v>
      </c>
      <c r="R20" s="360" t="s">
        <v>414</v>
      </c>
      <c r="S20" s="391" t="str">
        <f t="shared" si="11"/>
        <v>M15/C105 Insert (.0115" - .2505")</v>
      </c>
      <c r="T20" s="554">
        <f t="shared" si="9"/>
        <v>40</v>
      </c>
    </row>
    <row r="21" spans="3:20" ht="15" x14ac:dyDescent="0.25">
      <c r="C21" s="90" t="s">
        <v>504</v>
      </c>
      <c r="D21" s="465">
        <v>0.251</v>
      </c>
      <c r="E21" s="465">
        <v>0.5</v>
      </c>
      <c r="F21" s="553" t="str">
        <f t="shared" si="10"/>
        <v>.251" - .500"</v>
      </c>
      <c r="G21" s="553"/>
      <c r="H21" s="90" t="s">
        <v>415</v>
      </c>
      <c r="I21" s="90"/>
      <c r="J21" s="673">
        <v>35</v>
      </c>
      <c r="K21" s="673">
        <v>40</v>
      </c>
      <c r="L21" s="701">
        <f t="shared" si="5"/>
        <v>0.14285714285714285</v>
      </c>
      <c r="M21" s="701"/>
      <c r="N21" s="674">
        <f t="shared" si="6"/>
        <v>24.5</v>
      </c>
      <c r="O21" s="674">
        <f t="shared" si="7"/>
        <v>32</v>
      </c>
      <c r="P21" s="701">
        <f t="shared" si="8"/>
        <v>0.30612244897959184</v>
      </c>
      <c r="R21" s="198" t="s">
        <v>415</v>
      </c>
      <c r="S21" s="390" t="str">
        <f t="shared" si="11"/>
        <v>M2 Insert (.251" - .500")</v>
      </c>
      <c r="T21" s="243">
        <f t="shared" si="9"/>
        <v>40</v>
      </c>
    </row>
    <row r="22" spans="3:20" ht="15" x14ac:dyDescent="0.25">
      <c r="C22" s="90" t="s">
        <v>505</v>
      </c>
      <c r="D22" s="465">
        <v>0.2515</v>
      </c>
      <c r="E22" s="465">
        <v>0.50049999999999994</v>
      </c>
      <c r="F22" s="553" t="str">
        <f t="shared" si="10"/>
        <v>.2515" - .5005"</v>
      </c>
      <c r="G22" s="553"/>
      <c r="H22" s="90" t="s">
        <v>416</v>
      </c>
      <c r="I22" s="90"/>
      <c r="J22" s="673">
        <v>35</v>
      </c>
      <c r="K22" s="673">
        <v>40</v>
      </c>
      <c r="L22" s="701">
        <f t="shared" si="5"/>
        <v>0.14285714285714285</v>
      </c>
      <c r="M22" s="701"/>
      <c r="N22" s="674">
        <f t="shared" si="6"/>
        <v>24.5</v>
      </c>
      <c r="O22" s="674">
        <f t="shared" si="7"/>
        <v>32</v>
      </c>
      <c r="P22" s="701">
        <f t="shared" si="8"/>
        <v>0.30612244897959184</v>
      </c>
      <c r="R22" s="360" t="s">
        <v>416</v>
      </c>
      <c r="S22" s="391" t="str">
        <f t="shared" si="11"/>
        <v>M25 Insert (.2515" - .5005")</v>
      </c>
      <c r="T22" s="554">
        <f t="shared" si="9"/>
        <v>40</v>
      </c>
    </row>
    <row r="23" spans="3:20" ht="15" x14ac:dyDescent="0.25">
      <c r="C23" s="90" t="s">
        <v>506</v>
      </c>
      <c r="D23" s="465">
        <v>0.501</v>
      </c>
      <c r="E23" s="465">
        <v>0.625</v>
      </c>
      <c r="F23" s="553" t="str">
        <f t="shared" si="10"/>
        <v>.501" - .625"</v>
      </c>
      <c r="G23" s="553"/>
      <c r="H23" s="90" t="s">
        <v>417</v>
      </c>
      <c r="I23" s="90"/>
      <c r="J23" s="673">
        <v>35</v>
      </c>
      <c r="K23" s="673">
        <v>40</v>
      </c>
      <c r="L23" s="701">
        <f t="shared" si="5"/>
        <v>0.14285714285714285</v>
      </c>
      <c r="M23" s="701"/>
      <c r="N23" s="674">
        <f t="shared" si="6"/>
        <v>24.5</v>
      </c>
      <c r="O23" s="674">
        <f t="shared" si="7"/>
        <v>32</v>
      </c>
      <c r="P23" s="701">
        <f t="shared" si="8"/>
        <v>0.30612244897959184</v>
      </c>
      <c r="R23" s="198" t="s">
        <v>417</v>
      </c>
      <c r="S23" s="390" t="str">
        <f t="shared" si="11"/>
        <v>M3 Insert (.501" - .625")</v>
      </c>
      <c r="T23" s="243">
        <f t="shared" si="9"/>
        <v>40</v>
      </c>
    </row>
    <row r="24" spans="3:20" ht="15" x14ac:dyDescent="0.25">
      <c r="C24" s="90" t="s">
        <v>507</v>
      </c>
      <c r="D24" s="465">
        <v>0.50149999999999995</v>
      </c>
      <c r="E24" s="465">
        <v>0.62549999999999994</v>
      </c>
      <c r="F24" s="553" t="str">
        <f t="shared" si="10"/>
        <v>.5015" - .6255"</v>
      </c>
      <c r="G24" s="553"/>
      <c r="H24" s="90" t="s">
        <v>418</v>
      </c>
      <c r="I24" s="90"/>
      <c r="J24" s="673">
        <v>35</v>
      </c>
      <c r="K24" s="673">
        <v>40</v>
      </c>
      <c r="L24" s="701">
        <f t="shared" si="5"/>
        <v>0.14285714285714285</v>
      </c>
      <c r="M24" s="701"/>
      <c r="N24" s="674">
        <f t="shared" si="6"/>
        <v>24.5</v>
      </c>
      <c r="O24" s="674">
        <f t="shared" si="7"/>
        <v>32</v>
      </c>
      <c r="P24" s="701">
        <f t="shared" si="8"/>
        <v>0.30612244897959184</v>
      </c>
      <c r="R24" s="360" t="s">
        <v>418</v>
      </c>
      <c r="S24" s="391" t="str">
        <f t="shared" si="11"/>
        <v>M35 Insert (.5015" - .6255")</v>
      </c>
      <c r="T24" s="554">
        <f t="shared" si="9"/>
        <v>40</v>
      </c>
    </row>
    <row r="25" spans="3:20" ht="15" x14ac:dyDescent="0.25">
      <c r="C25" s="90" t="s">
        <v>508</v>
      </c>
      <c r="D25" s="465">
        <v>0.626</v>
      </c>
      <c r="E25" s="465">
        <v>0.75</v>
      </c>
      <c r="F25" s="553" t="str">
        <f t="shared" si="10"/>
        <v>.626" - .750"</v>
      </c>
      <c r="G25" s="553"/>
      <c r="H25" s="90" t="s">
        <v>420</v>
      </c>
      <c r="I25" s="90"/>
      <c r="J25" s="673">
        <v>35</v>
      </c>
      <c r="K25" s="673">
        <v>40</v>
      </c>
      <c r="L25" s="701">
        <f t="shared" si="5"/>
        <v>0.14285714285714285</v>
      </c>
      <c r="M25" s="701"/>
      <c r="N25" s="674">
        <f t="shared" si="6"/>
        <v>24.5</v>
      </c>
      <c r="O25" s="674">
        <f t="shared" si="7"/>
        <v>32</v>
      </c>
      <c r="P25" s="701">
        <f t="shared" si="8"/>
        <v>0.30612244897959184</v>
      </c>
      <c r="R25" s="198" t="s">
        <v>420</v>
      </c>
      <c r="S25" s="390" t="str">
        <f t="shared" si="11"/>
        <v>M4 Insert (.626" - .750")</v>
      </c>
      <c r="T25" s="243">
        <f t="shared" si="9"/>
        <v>40</v>
      </c>
    </row>
    <row r="26" spans="3:20" ht="15" x14ac:dyDescent="0.25">
      <c r="C26" s="90" t="s">
        <v>509</v>
      </c>
      <c r="D26" s="465">
        <v>0.62649999999999995</v>
      </c>
      <c r="E26" s="465">
        <v>0.75049999999999994</v>
      </c>
      <c r="F26" s="553" t="str">
        <f t="shared" si="10"/>
        <v>.6265" - .7505"</v>
      </c>
      <c r="G26" s="553"/>
      <c r="H26" s="90" t="s">
        <v>421</v>
      </c>
      <c r="I26" s="90"/>
      <c r="J26" s="673">
        <v>35</v>
      </c>
      <c r="K26" s="673">
        <v>40</v>
      </c>
      <c r="L26" s="701">
        <f t="shared" si="5"/>
        <v>0.14285714285714285</v>
      </c>
      <c r="M26" s="701"/>
      <c r="N26" s="674">
        <f t="shared" si="6"/>
        <v>24.5</v>
      </c>
      <c r="O26" s="674">
        <f t="shared" si="7"/>
        <v>32</v>
      </c>
      <c r="P26" s="701">
        <f t="shared" si="8"/>
        <v>0.30612244897959184</v>
      </c>
      <c r="R26" s="360" t="s">
        <v>421</v>
      </c>
      <c r="S26" s="391" t="str">
        <f t="shared" si="11"/>
        <v>M45 Insert (.6265" - .7505")</v>
      </c>
      <c r="T26" s="554">
        <f t="shared" si="9"/>
        <v>40</v>
      </c>
    </row>
    <row r="27" spans="3:20" ht="15" x14ac:dyDescent="0.25">
      <c r="C27" s="90" t="s">
        <v>510</v>
      </c>
      <c r="D27" s="465">
        <v>0.751</v>
      </c>
      <c r="E27" s="465">
        <v>0.83199999999999996</v>
      </c>
      <c r="F27" s="553" t="str">
        <f t="shared" si="10"/>
        <v>.751" - .832"</v>
      </c>
      <c r="G27" s="553"/>
      <c r="H27" s="90" t="s">
        <v>422</v>
      </c>
      <c r="I27" s="90"/>
      <c r="J27" s="673">
        <v>35</v>
      </c>
      <c r="K27" s="673">
        <v>40</v>
      </c>
      <c r="L27" s="701">
        <f t="shared" si="5"/>
        <v>0.14285714285714285</v>
      </c>
      <c r="M27" s="701"/>
      <c r="N27" s="674">
        <f t="shared" si="6"/>
        <v>24.5</v>
      </c>
      <c r="O27" s="674">
        <f t="shared" si="7"/>
        <v>32</v>
      </c>
      <c r="P27" s="701">
        <f t="shared" si="8"/>
        <v>0.30612244897959184</v>
      </c>
      <c r="R27" s="198" t="s">
        <v>422</v>
      </c>
      <c r="S27" s="390" t="str">
        <f t="shared" si="11"/>
        <v>M5 Insert (.751" - .832")</v>
      </c>
      <c r="T27" s="243">
        <f t="shared" si="9"/>
        <v>40</v>
      </c>
    </row>
    <row r="28" spans="3:20" ht="15" x14ac:dyDescent="0.25">
      <c r="C28" s="90" t="s">
        <v>511</v>
      </c>
      <c r="D28" s="465">
        <v>0.75149999999999995</v>
      </c>
      <c r="E28" s="465">
        <v>0.83250000000000002</v>
      </c>
      <c r="F28" s="553" t="str">
        <f t="shared" si="10"/>
        <v>.7515" - .8325"</v>
      </c>
      <c r="G28" s="553"/>
      <c r="H28" s="90" t="s">
        <v>423</v>
      </c>
      <c r="I28" s="90"/>
      <c r="J28" s="673">
        <v>35</v>
      </c>
      <c r="K28" s="673">
        <v>40</v>
      </c>
      <c r="L28" s="701">
        <f t="shared" si="5"/>
        <v>0.14285714285714285</v>
      </c>
      <c r="M28" s="701"/>
      <c r="N28" s="674">
        <f t="shared" si="6"/>
        <v>24.5</v>
      </c>
      <c r="O28" s="674">
        <f t="shared" si="7"/>
        <v>32</v>
      </c>
      <c r="P28" s="701">
        <f t="shared" si="8"/>
        <v>0.30612244897959184</v>
      </c>
      <c r="R28" s="360" t="s">
        <v>423</v>
      </c>
      <c r="S28" s="391" t="str">
        <f t="shared" si="11"/>
        <v>M55 Insert (.7515" - .8325")</v>
      </c>
      <c r="T28" s="554">
        <f t="shared" si="9"/>
        <v>40</v>
      </c>
    </row>
    <row r="29" spans="3:20" ht="15" x14ac:dyDescent="0.25">
      <c r="C29" s="90" t="s">
        <v>512</v>
      </c>
      <c r="D29" s="465">
        <v>0.83299999999999996</v>
      </c>
      <c r="E29" s="465">
        <v>0.91600000000000004</v>
      </c>
      <c r="F29" s="553" t="str">
        <f t="shared" si="10"/>
        <v>.833" - .916"</v>
      </c>
      <c r="G29" s="553"/>
      <c r="H29" s="90" t="s">
        <v>424</v>
      </c>
      <c r="I29" s="90"/>
      <c r="J29" s="673">
        <v>35</v>
      </c>
      <c r="K29" s="673">
        <v>40</v>
      </c>
      <c r="L29" s="701">
        <f t="shared" si="5"/>
        <v>0.14285714285714285</v>
      </c>
      <c r="M29" s="701"/>
      <c r="N29" s="674">
        <f t="shared" si="6"/>
        <v>24.5</v>
      </c>
      <c r="O29" s="674">
        <f t="shared" si="7"/>
        <v>32</v>
      </c>
      <c r="P29" s="701">
        <f t="shared" si="8"/>
        <v>0.30612244897959184</v>
      </c>
      <c r="R29" s="198" t="s">
        <v>424</v>
      </c>
      <c r="S29" s="390" t="str">
        <f t="shared" si="11"/>
        <v>M6 Insert (.833" - .916")</v>
      </c>
      <c r="T29" s="243">
        <f t="shared" si="9"/>
        <v>40</v>
      </c>
    </row>
    <row r="30" spans="3:20" ht="15" x14ac:dyDescent="0.25">
      <c r="C30" s="90" t="s">
        <v>513</v>
      </c>
      <c r="D30" s="465">
        <v>0.83350000000000002</v>
      </c>
      <c r="E30" s="465">
        <v>0.91649999999999998</v>
      </c>
      <c r="F30" s="553" t="str">
        <f t="shared" si="10"/>
        <v>.8335" - .9165"</v>
      </c>
      <c r="G30" s="553"/>
      <c r="H30" s="90" t="s">
        <v>425</v>
      </c>
      <c r="I30" s="90"/>
      <c r="J30" s="673">
        <v>35</v>
      </c>
      <c r="K30" s="673">
        <v>40</v>
      </c>
      <c r="L30" s="701">
        <f t="shared" si="5"/>
        <v>0.14285714285714285</v>
      </c>
      <c r="M30" s="701"/>
      <c r="N30" s="674">
        <f t="shared" si="6"/>
        <v>24.5</v>
      </c>
      <c r="O30" s="674">
        <f t="shared" si="7"/>
        <v>32</v>
      </c>
      <c r="P30" s="701">
        <f t="shared" si="8"/>
        <v>0.30612244897959184</v>
      </c>
      <c r="R30" s="360" t="s">
        <v>425</v>
      </c>
      <c r="S30" s="391" t="str">
        <f t="shared" si="11"/>
        <v>M65 Insert (.8335" - .9165")</v>
      </c>
      <c r="T30" s="554">
        <f t="shared" si="9"/>
        <v>40</v>
      </c>
    </row>
    <row r="31" spans="3:20" ht="15" x14ac:dyDescent="0.25">
      <c r="C31" s="90" t="s">
        <v>514</v>
      </c>
      <c r="D31" s="465">
        <v>0.91700000000000004</v>
      </c>
      <c r="E31" s="465">
        <v>1</v>
      </c>
      <c r="F31" s="553" t="str">
        <f t="shared" si="10"/>
        <v>.917" - 1.000"</v>
      </c>
      <c r="G31" s="553"/>
      <c r="H31" s="90" t="s">
        <v>426</v>
      </c>
      <c r="I31" s="90"/>
      <c r="J31" s="673">
        <v>35</v>
      </c>
      <c r="K31" s="673">
        <v>40</v>
      </c>
      <c r="L31" s="701">
        <f t="shared" si="5"/>
        <v>0.14285714285714285</v>
      </c>
      <c r="M31" s="701"/>
      <c r="N31" s="674">
        <f t="shared" si="6"/>
        <v>24.5</v>
      </c>
      <c r="O31" s="674">
        <f t="shared" si="7"/>
        <v>32</v>
      </c>
      <c r="P31" s="701">
        <f t="shared" si="8"/>
        <v>0.30612244897959184</v>
      </c>
      <c r="R31" s="198" t="s">
        <v>426</v>
      </c>
      <c r="S31" s="390" t="str">
        <f t="shared" si="11"/>
        <v>M7 Insert (.917" - 1.000")</v>
      </c>
      <c r="T31" s="243">
        <f t="shared" si="9"/>
        <v>40</v>
      </c>
    </row>
    <row r="32" spans="3:20" thickBot="1" x14ac:dyDescent="0.3">
      <c r="C32" s="90" t="s">
        <v>515</v>
      </c>
      <c r="D32" s="465">
        <v>0.91749999999999998</v>
      </c>
      <c r="E32" s="465">
        <v>1.0004999999999999</v>
      </c>
      <c r="F32" s="553" t="str">
        <f t="shared" si="10"/>
        <v>.9175" - 1.0005"</v>
      </c>
      <c r="G32" s="553"/>
      <c r="H32" s="90" t="s">
        <v>427</v>
      </c>
      <c r="I32" s="90"/>
      <c r="J32" s="673">
        <v>35</v>
      </c>
      <c r="K32" s="673">
        <v>40</v>
      </c>
      <c r="L32" s="701">
        <f t="shared" si="5"/>
        <v>0.14285714285714285</v>
      </c>
      <c r="M32" s="701"/>
      <c r="N32" s="674">
        <f t="shared" si="6"/>
        <v>24.5</v>
      </c>
      <c r="O32" s="674">
        <f t="shared" si="7"/>
        <v>32</v>
      </c>
      <c r="P32" s="701">
        <f t="shared" si="8"/>
        <v>0.30612244897959184</v>
      </c>
      <c r="R32" s="361" t="s">
        <v>427</v>
      </c>
      <c r="S32" s="392" t="str">
        <f t="shared" si="11"/>
        <v>M75 Insert (.9175" - 1.0005")</v>
      </c>
      <c r="T32" s="555">
        <f t="shared" si="9"/>
        <v>40</v>
      </c>
    </row>
    <row r="33" spans="3:20" thickBot="1" x14ac:dyDescent="0.3">
      <c r="D33" s="39"/>
      <c r="E33" s="39"/>
      <c r="H33" s="13"/>
      <c r="I33" s="13"/>
      <c r="L33" s="701"/>
      <c r="M33" s="701"/>
      <c r="R33" s="35"/>
      <c r="S33" s="35"/>
    </row>
    <row r="34" spans="3:20" thickBot="1" x14ac:dyDescent="0.3">
      <c r="D34" s="39"/>
      <c r="E34" s="39"/>
      <c r="H34" s="13"/>
      <c r="I34" s="13"/>
      <c r="L34" s="701"/>
      <c r="M34" s="701"/>
      <c r="R34" s="35"/>
      <c r="S34" s="35"/>
    </row>
    <row r="35" spans="3:20" ht="15" x14ac:dyDescent="0.25">
      <c r="D35" s="39"/>
      <c r="E35" s="39"/>
      <c r="H35" s="13"/>
      <c r="I35" s="13"/>
      <c r="L35" s="701"/>
      <c r="M35" s="701"/>
      <c r="R35" s="767" t="s">
        <v>499</v>
      </c>
      <c r="S35" s="767"/>
      <c r="T35" s="768"/>
    </row>
    <row r="36" spans="3:20" ht="15" x14ac:dyDescent="0.25">
      <c r="D36" s="45" t="s">
        <v>5</v>
      </c>
      <c r="E36" s="45"/>
      <c r="H36" s="13"/>
      <c r="I36" s="13"/>
      <c r="L36" s="701"/>
      <c r="M36" s="701"/>
      <c r="R36" s="387" t="s">
        <v>9</v>
      </c>
      <c r="S36" s="389" t="s">
        <v>186</v>
      </c>
      <c r="T36" s="388" t="s">
        <v>573</v>
      </c>
    </row>
    <row r="37" spans="3:20" ht="15" x14ac:dyDescent="0.25">
      <c r="C37" s="90" t="s">
        <v>516</v>
      </c>
      <c r="D37" s="6">
        <v>0.22</v>
      </c>
      <c r="E37" s="6">
        <v>1.5</v>
      </c>
      <c r="F37" s="553" t="str">
        <f>_xlfn.CONCAT(TEXT($D37,"#.00")," - ",TEXT($E37,"#.00"),"mm")</f>
        <v>.22 - 1.50mm</v>
      </c>
      <c r="G37" s="553"/>
      <c r="H37" s="90" t="s">
        <v>430</v>
      </c>
      <c r="I37" s="90"/>
      <c r="J37" s="673">
        <v>35</v>
      </c>
      <c r="K37" s="673">
        <v>35</v>
      </c>
      <c r="L37" s="701">
        <f t="shared" ref="L37:L54" si="12">((K37-J37)/J37)</f>
        <v>0</v>
      </c>
      <c r="M37" s="701"/>
      <c r="N37" s="674">
        <f t="shared" ref="N37:N54" si="13">(1-$N$5)*$J37</f>
        <v>24.5</v>
      </c>
      <c r="O37" s="674">
        <f t="shared" ref="O37:O53" si="14">(1-$O$5)*$K37</f>
        <v>28</v>
      </c>
      <c r="P37" s="701">
        <f t="shared" ref="P37:P53" si="15">((O37-N37)/N37)</f>
        <v>0.14285714285714285</v>
      </c>
      <c r="R37" s="198" t="s">
        <v>430</v>
      </c>
      <c r="S37" s="390" t="str">
        <f t="shared" ref="S37:S54" si="16">_xlfn.CONCAT($C37," Insert (","",$F37,")")</f>
        <v>M0MM Insert (.22 - 1.50mm)</v>
      </c>
      <c r="T37" s="243">
        <f t="shared" ref="T37:T54" si="17">$K37</f>
        <v>35</v>
      </c>
    </row>
    <row r="38" spans="3:20" ht="15" x14ac:dyDescent="0.25">
      <c r="C38" s="90" t="s">
        <v>517</v>
      </c>
      <c r="D38" s="6">
        <v>0.23</v>
      </c>
      <c r="E38" s="6">
        <v>1.51</v>
      </c>
      <c r="F38" s="553" t="str">
        <f t="shared" ref="F38:F54" si="18">_xlfn.CONCAT(TEXT($D38,"#.00")," - ",TEXT($E38,"#.00"),"mm")</f>
        <v>.23 - 1.51mm</v>
      </c>
      <c r="G38" s="553"/>
      <c r="H38" s="90" t="s">
        <v>431</v>
      </c>
      <c r="I38" s="90"/>
      <c r="J38" s="673">
        <v>35</v>
      </c>
      <c r="K38" s="673">
        <v>35</v>
      </c>
      <c r="L38" s="701">
        <f t="shared" si="12"/>
        <v>0</v>
      </c>
      <c r="M38" s="701"/>
      <c r="N38" s="674">
        <f t="shared" si="13"/>
        <v>24.5</v>
      </c>
      <c r="O38" s="674">
        <f t="shared" si="14"/>
        <v>28</v>
      </c>
      <c r="P38" s="701">
        <f t="shared" si="15"/>
        <v>0.14285714285714285</v>
      </c>
      <c r="R38" s="360" t="s">
        <v>431</v>
      </c>
      <c r="S38" s="391" t="str">
        <f t="shared" si="16"/>
        <v>M01MM Insert (.23 - 1.51mm)</v>
      </c>
      <c r="T38" s="554">
        <f t="shared" si="17"/>
        <v>35</v>
      </c>
    </row>
    <row r="39" spans="3:20" ht="15" x14ac:dyDescent="0.25">
      <c r="C39" s="90" t="s">
        <v>518</v>
      </c>
      <c r="D39" s="6">
        <v>1.52</v>
      </c>
      <c r="E39" s="6">
        <v>7.7</v>
      </c>
      <c r="F39" s="553" t="str">
        <f t="shared" si="18"/>
        <v>1.52 - 7.70mm</v>
      </c>
      <c r="G39" s="553"/>
      <c r="H39" s="90" t="s">
        <v>432</v>
      </c>
      <c r="I39" s="90"/>
      <c r="J39" s="673">
        <v>35</v>
      </c>
      <c r="K39" s="673">
        <v>40</v>
      </c>
      <c r="L39" s="701">
        <f t="shared" si="12"/>
        <v>0.14285714285714285</v>
      </c>
      <c r="M39" s="701"/>
      <c r="N39" s="674">
        <f t="shared" si="13"/>
        <v>24.5</v>
      </c>
      <c r="O39" s="674">
        <f t="shared" si="14"/>
        <v>32</v>
      </c>
      <c r="P39" s="701">
        <f t="shared" si="15"/>
        <v>0.30612244897959184</v>
      </c>
      <c r="R39" s="198" t="s">
        <v>432</v>
      </c>
      <c r="S39" s="390" t="str">
        <f t="shared" si="16"/>
        <v>M1MM Insert (1.52 - 7.70mm)</v>
      </c>
      <c r="T39" s="243">
        <f t="shared" si="17"/>
        <v>40</v>
      </c>
    </row>
    <row r="40" spans="3:20" ht="15" x14ac:dyDescent="0.25">
      <c r="C40" s="90" t="s">
        <v>519</v>
      </c>
      <c r="D40" s="6">
        <v>1.53</v>
      </c>
      <c r="E40" s="6">
        <v>7.71</v>
      </c>
      <c r="F40" s="553" t="str">
        <f t="shared" si="18"/>
        <v>1.53 - 7.71mm</v>
      </c>
      <c r="G40" s="553"/>
      <c r="H40" s="90" t="s">
        <v>433</v>
      </c>
      <c r="I40" s="90"/>
      <c r="J40" s="673">
        <v>35</v>
      </c>
      <c r="K40" s="673">
        <v>40</v>
      </c>
      <c r="L40" s="701">
        <f t="shared" si="12"/>
        <v>0.14285714285714285</v>
      </c>
      <c r="M40" s="701"/>
      <c r="N40" s="674">
        <f t="shared" si="13"/>
        <v>24.5</v>
      </c>
      <c r="O40" s="674">
        <f t="shared" si="14"/>
        <v>32</v>
      </c>
      <c r="P40" s="701">
        <f t="shared" si="15"/>
        <v>0.30612244897959184</v>
      </c>
      <c r="R40" s="360" t="s">
        <v>433</v>
      </c>
      <c r="S40" s="391" t="str">
        <f t="shared" si="16"/>
        <v>M11MM Insert (1.53 - 7.71mm)</v>
      </c>
      <c r="T40" s="554">
        <f t="shared" si="17"/>
        <v>40</v>
      </c>
    </row>
    <row r="41" spans="3:20" ht="15" x14ac:dyDescent="0.25">
      <c r="C41" s="90" t="s">
        <v>520</v>
      </c>
      <c r="D41" s="6">
        <v>7.72</v>
      </c>
      <c r="E41" s="6">
        <v>12.7</v>
      </c>
      <c r="F41" s="553" t="str">
        <f t="shared" si="18"/>
        <v>7.72 - 12.70mm</v>
      </c>
      <c r="G41" s="553"/>
      <c r="H41" s="90" t="s">
        <v>434</v>
      </c>
      <c r="I41" s="90"/>
      <c r="J41" s="673">
        <v>35</v>
      </c>
      <c r="K41" s="673">
        <v>40</v>
      </c>
      <c r="L41" s="701">
        <f t="shared" si="12"/>
        <v>0.14285714285714285</v>
      </c>
      <c r="M41" s="701"/>
      <c r="N41" s="674">
        <f t="shared" si="13"/>
        <v>24.5</v>
      </c>
      <c r="O41" s="674">
        <f t="shared" si="14"/>
        <v>32</v>
      </c>
      <c r="P41" s="701">
        <f t="shared" si="15"/>
        <v>0.30612244897959184</v>
      </c>
      <c r="R41" s="198" t="s">
        <v>434</v>
      </c>
      <c r="S41" s="390" t="str">
        <f t="shared" si="16"/>
        <v>M2MM Insert (7.72 - 12.70mm)</v>
      </c>
      <c r="T41" s="243">
        <f t="shared" si="17"/>
        <v>40</v>
      </c>
    </row>
    <row r="42" spans="3:20" ht="15" x14ac:dyDescent="0.25">
      <c r="C42" s="90" t="s">
        <v>521</v>
      </c>
      <c r="D42" s="6">
        <v>7.73</v>
      </c>
      <c r="E42" s="6">
        <v>12.71</v>
      </c>
      <c r="F42" s="553" t="str">
        <f t="shared" si="18"/>
        <v>7.73 - 12.71mm</v>
      </c>
      <c r="G42" s="553"/>
      <c r="H42" s="90" t="s">
        <v>435</v>
      </c>
      <c r="I42" s="90"/>
      <c r="J42" s="673">
        <v>35</v>
      </c>
      <c r="K42" s="673">
        <v>40</v>
      </c>
      <c r="L42" s="701">
        <f t="shared" si="12"/>
        <v>0.14285714285714285</v>
      </c>
      <c r="M42" s="701"/>
      <c r="N42" s="674">
        <f t="shared" si="13"/>
        <v>24.5</v>
      </c>
      <c r="O42" s="674">
        <f t="shared" si="14"/>
        <v>32</v>
      </c>
      <c r="P42" s="701">
        <f t="shared" si="15"/>
        <v>0.30612244897959184</v>
      </c>
      <c r="R42" s="360" t="s">
        <v>435</v>
      </c>
      <c r="S42" s="391" t="str">
        <f t="shared" si="16"/>
        <v>M21MM Insert (7.73 - 12.71mm)</v>
      </c>
      <c r="T42" s="554">
        <f t="shared" si="17"/>
        <v>40</v>
      </c>
    </row>
    <row r="43" spans="3:20" ht="15" x14ac:dyDescent="0.25">
      <c r="C43" s="90" t="s">
        <v>522</v>
      </c>
      <c r="D43" s="6">
        <v>12.72</v>
      </c>
      <c r="E43" s="6">
        <v>15.3</v>
      </c>
      <c r="F43" s="553" t="str">
        <f t="shared" si="18"/>
        <v>12.72 - 15.30mm</v>
      </c>
      <c r="G43" s="553"/>
      <c r="H43" s="90" t="s">
        <v>436</v>
      </c>
      <c r="I43" s="90"/>
      <c r="J43" s="673">
        <v>35</v>
      </c>
      <c r="K43" s="673">
        <v>40</v>
      </c>
      <c r="L43" s="701">
        <f t="shared" si="12"/>
        <v>0.14285714285714285</v>
      </c>
      <c r="M43" s="701"/>
      <c r="N43" s="674">
        <f t="shared" si="13"/>
        <v>24.5</v>
      </c>
      <c r="O43" s="674">
        <f t="shared" si="14"/>
        <v>32</v>
      </c>
      <c r="P43" s="701">
        <f t="shared" si="15"/>
        <v>0.30612244897959184</v>
      </c>
      <c r="R43" s="198" t="s">
        <v>436</v>
      </c>
      <c r="S43" s="390" t="str">
        <f t="shared" si="16"/>
        <v>M3MM Insert (12.72 - 15.30mm)</v>
      </c>
      <c r="T43" s="243">
        <f t="shared" si="17"/>
        <v>40</v>
      </c>
    </row>
    <row r="44" spans="3:20" ht="15" x14ac:dyDescent="0.25">
      <c r="C44" s="90" t="s">
        <v>523</v>
      </c>
      <c r="D44" s="6">
        <v>12.73</v>
      </c>
      <c r="E44" s="6">
        <v>15.31</v>
      </c>
      <c r="F44" s="553" t="str">
        <f t="shared" si="18"/>
        <v>12.73 - 15.31mm</v>
      </c>
      <c r="G44" s="553"/>
      <c r="H44" s="90" t="s">
        <v>437</v>
      </c>
      <c r="I44" s="90"/>
      <c r="J44" s="673">
        <v>35</v>
      </c>
      <c r="K44" s="673">
        <v>40</v>
      </c>
      <c r="L44" s="701">
        <f t="shared" si="12"/>
        <v>0.14285714285714285</v>
      </c>
      <c r="M44" s="701"/>
      <c r="N44" s="674">
        <f t="shared" si="13"/>
        <v>24.5</v>
      </c>
      <c r="O44" s="674">
        <f t="shared" si="14"/>
        <v>32</v>
      </c>
      <c r="P44" s="701">
        <f t="shared" si="15"/>
        <v>0.30612244897959184</v>
      </c>
      <c r="R44" s="360" t="s">
        <v>437</v>
      </c>
      <c r="S44" s="391" t="str">
        <f t="shared" si="16"/>
        <v>M31MM Insert (12.73 - 15.31mm)</v>
      </c>
      <c r="T44" s="554">
        <f t="shared" si="17"/>
        <v>40</v>
      </c>
    </row>
    <row r="45" spans="3:20" ht="15" x14ac:dyDescent="0.25">
      <c r="C45" s="90" t="s">
        <v>524</v>
      </c>
      <c r="D45" s="6">
        <v>15.32</v>
      </c>
      <c r="E45" s="6">
        <v>17.8</v>
      </c>
      <c r="F45" s="553" t="str">
        <f t="shared" si="18"/>
        <v>15.32 - 17.80mm</v>
      </c>
      <c r="G45" s="553"/>
      <c r="H45" s="90" t="s">
        <v>438</v>
      </c>
      <c r="I45" s="90"/>
      <c r="J45" s="673">
        <v>35</v>
      </c>
      <c r="K45" s="673">
        <v>40</v>
      </c>
      <c r="L45" s="701">
        <f t="shared" si="12"/>
        <v>0.14285714285714285</v>
      </c>
      <c r="M45" s="701"/>
      <c r="N45" s="674">
        <f t="shared" si="13"/>
        <v>24.5</v>
      </c>
      <c r="O45" s="674">
        <f t="shared" si="14"/>
        <v>32</v>
      </c>
      <c r="P45" s="701">
        <f t="shared" si="15"/>
        <v>0.30612244897959184</v>
      </c>
      <c r="R45" s="198" t="s">
        <v>438</v>
      </c>
      <c r="S45" s="390" t="str">
        <f t="shared" si="16"/>
        <v>M4MM Insert (15.32 - 17.80mm)</v>
      </c>
      <c r="T45" s="243">
        <f t="shared" si="17"/>
        <v>40</v>
      </c>
    </row>
    <row r="46" spans="3:20" ht="15" x14ac:dyDescent="0.25">
      <c r="C46" s="90" t="s">
        <v>525</v>
      </c>
      <c r="D46" s="6">
        <v>15.33</v>
      </c>
      <c r="E46" s="6">
        <v>17.809999999999999</v>
      </c>
      <c r="F46" s="553" t="str">
        <f t="shared" si="18"/>
        <v>15.33 - 17.81mm</v>
      </c>
      <c r="G46" s="553"/>
      <c r="H46" s="90" t="s">
        <v>439</v>
      </c>
      <c r="I46" s="90"/>
      <c r="J46" s="673">
        <v>35</v>
      </c>
      <c r="K46" s="673">
        <v>40</v>
      </c>
      <c r="L46" s="701">
        <f t="shared" si="12"/>
        <v>0.14285714285714285</v>
      </c>
      <c r="M46" s="701"/>
      <c r="N46" s="674">
        <f t="shared" si="13"/>
        <v>24.5</v>
      </c>
      <c r="O46" s="674">
        <f t="shared" si="14"/>
        <v>32</v>
      </c>
      <c r="P46" s="701">
        <f t="shared" si="15"/>
        <v>0.30612244897959184</v>
      </c>
      <c r="R46" s="360" t="s">
        <v>439</v>
      </c>
      <c r="S46" s="391" t="str">
        <f t="shared" si="16"/>
        <v>M41MM Insert (15.33 - 17.81mm)</v>
      </c>
      <c r="T46" s="554">
        <f t="shared" si="17"/>
        <v>40</v>
      </c>
    </row>
    <row r="47" spans="3:20" ht="15" x14ac:dyDescent="0.25">
      <c r="C47" s="90" t="s">
        <v>526</v>
      </c>
      <c r="D47" s="6">
        <v>17.82</v>
      </c>
      <c r="E47" s="6">
        <v>20.36</v>
      </c>
      <c r="F47" s="553" t="str">
        <f t="shared" si="18"/>
        <v>17.82 - 20.36mm</v>
      </c>
      <c r="G47" s="553"/>
      <c r="H47" s="90" t="s">
        <v>440</v>
      </c>
      <c r="I47" s="90"/>
      <c r="J47" s="673">
        <v>35</v>
      </c>
      <c r="K47" s="673">
        <v>40</v>
      </c>
      <c r="L47" s="701">
        <f t="shared" si="12"/>
        <v>0.14285714285714285</v>
      </c>
      <c r="M47" s="701"/>
      <c r="N47" s="674">
        <f t="shared" si="13"/>
        <v>24.5</v>
      </c>
      <c r="O47" s="674">
        <f t="shared" si="14"/>
        <v>32</v>
      </c>
      <c r="P47" s="701">
        <f t="shared" si="15"/>
        <v>0.30612244897959184</v>
      </c>
      <c r="R47" s="198" t="s">
        <v>440</v>
      </c>
      <c r="S47" s="390" t="str">
        <f t="shared" si="16"/>
        <v>M5MM Insert (17.82 - 20.36mm)</v>
      </c>
      <c r="T47" s="243">
        <f t="shared" si="17"/>
        <v>40</v>
      </c>
    </row>
    <row r="48" spans="3:20" ht="15" x14ac:dyDescent="0.25">
      <c r="C48" s="90" t="s">
        <v>527</v>
      </c>
      <c r="D48" s="6">
        <v>17.829999999999998</v>
      </c>
      <c r="E48" s="6">
        <v>20.37</v>
      </c>
      <c r="F48" s="553" t="str">
        <f t="shared" si="18"/>
        <v>17.83 - 20.37mm</v>
      </c>
      <c r="G48" s="553"/>
      <c r="H48" s="90" t="s">
        <v>441</v>
      </c>
      <c r="I48" s="90"/>
      <c r="J48" s="673">
        <v>35</v>
      </c>
      <c r="K48" s="673">
        <v>40</v>
      </c>
      <c r="L48" s="701">
        <f t="shared" si="12"/>
        <v>0.14285714285714285</v>
      </c>
      <c r="M48" s="701"/>
      <c r="N48" s="674">
        <f t="shared" si="13"/>
        <v>24.5</v>
      </c>
      <c r="O48" s="674">
        <f t="shared" si="14"/>
        <v>32</v>
      </c>
      <c r="P48" s="701">
        <f t="shared" si="15"/>
        <v>0.30612244897959184</v>
      </c>
      <c r="R48" s="360" t="s">
        <v>441</v>
      </c>
      <c r="S48" s="391" t="str">
        <f t="shared" si="16"/>
        <v>M51MM Insert (17.83 - 20.37mm)</v>
      </c>
      <c r="T48" s="554">
        <f t="shared" si="17"/>
        <v>40</v>
      </c>
    </row>
    <row r="49" spans="3:20" ht="15" x14ac:dyDescent="0.25">
      <c r="C49" s="90" t="s">
        <v>528</v>
      </c>
      <c r="D49" s="6">
        <v>20.38</v>
      </c>
      <c r="E49" s="6">
        <v>22.04</v>
      </c>
      <c r="F49" s="553" t="str">
        <f t="shared" si="18"/>
        <v>20.38 - 22.04mm</v>
      </c>
      <c r="G49" s="553"/>
      <c r="H49" s="90" t="s">
        <v>442</v>
      </c>
      <c r="I49" s="90"/>
      <c r="J49" s="673">
        <v>35</v>
      </c>
      <c r="K49" s="673">
        <v>40</v>
      </c>
      <c r="L49" s="701">
        <f t="shared" si="12"/>
        <v>0.14285714285714285</v>
      </c>
      <c r="M49" s="701"/>
      <c r="N49" s="674">
        <f t="shared" si="13"/>
        <v>24.5</v>
      </c>
      <c r="O49" s="674">
        <f t="shared" si="14"/>
        <v>32</v>
      </c>
      <c r="P49" s="701">
        <f t="shared" si="15"/>
        <v>0.30612244897959184</v>
      </c>
      <c r="R49" s="198" t="s">
        <v>442</v>
      </c>
      <c r="S49" s="390" t="str">
        <f t="shared" si="16"/>
        <v>M6MM Insert (20.38 - 22.04mm)</v>
      </c>
      <c r="T49" s="243">
        <f t="shared" si="17"/>
        <v>40</v>
      </c>
    </row>
    <row r="50" spans="3:20" ht="15" x14ac:dyDescent="0.25">
      <c r="C50" s="90" t="s">
        <v>529</v>
      </c>
      <c r="D50" s="6">
        <v>20.39</v>
      </c>
      <c r="E50" s="6">
        <v>22.05</v>
      </c>
      <c r="F50" s="553" t="str">
        <f t="shared" si="18"/>
        <v>20.39 - 22.05mm</v>
      </c>
      <c r="G50" s="553"/>
      <c r="H50" s="90" t="s">
        <v>443</v>
      </c>
      <c r="I50" s="90"/>
      <c r="J50" s="673">
        <v>35</v>
      </c>
      <c r="K50" s="673">
        <v>40</v>
      </c>
      <c r="L50" s="701">
        <f t="shared" si="12"/>
        <v>0.14285714285714285</v>
      </c>
      <c r="M50" s="701"/>
      <c r="N50" s="674">
        <f t="shared" si="13"/>
        <v>24.5</v>
      </c>
      <c r="O50" s="674">
        <f t="shared" si="14"/>
        <v>32</v>
      </c>
      <c r="P50" s="701">
        <f t="shared" si="15"/>
        <v>0.30612244897959184</v>
      </c>
      <c r="R50" s="360" t="s">
        <v>443</v>
      </c>
      <c r="S50" s="391" t="str">
        <f t="shared" si="16"/>
        <v>M61MM Insert (20.39 - 22.05mm)</v>
      </c>
      <c r="T50" s="554">
        <f t="shared" si="17"/>
        <v>40</v>
      </c>
    </row>
    <row r="51" spans="3:20" ht="15" x14ac:dyDescent="0.25">
      <c r="C51" s="90" t="s">
        <v>530</v>
      </c>
      <c r="D51" s="6">
        <v>22.06</v>
      </c>
      <c r="E51" s="6">
        <v>23.72</v>
      </c>
      <c r="F51" s="553" t="str">
        <f t="shared" si="18"/>
        <v>22.06 - 23.72mm</v>
      </c>
      <c r="G51" s="553"/>
      <c r="H51" s="90" t="s">
        <v>444</v>
      </c>
      <c r="I51" s="90"/>
      <c r="J51" s="673">
        <v>35</v>
      </c>
      <c r="K51" s="673">
        <v>40</v>
      </c>
      <c r="L51" s="701">
        <f t="shared" si="12"/>
        <v>0.14285714285714285</v>
      </c>
      <c r="M51" s="701"/>
      <c r="N51" s="674">
        <f t="shared" si="13"/>
        <v>24.5</v>
      </c>
      <c r="O51" s="674">
        <f t="shared" si="14"/>
        <v>32</v>
      </c>
      <c r="P51" s="701">
        <f t="shared" si="15"/>
        <v>0.30612244897959184</v>
      </c>
      <c r="R51" s="198" t="s">
        <v>444</v>
      </c>
      <c r="S51" s="390" t="str">
        <f t="shared" si="16"/>
        <v>M7MM Insert (22.06 - 23.72mm)</v>
      </c>
      <c r="T51" s="243">
        <f t="shared" si="17"/>
        <v>40</v>
      </c>
    </row>
    <row r="52" spans="3:20" ht="15" x14ac:dyDescent="0.25">
      <c r="C52" s="90" t="s">
        <v>531</v>
      </c>
      <c r="D52" s="6">
        <v>22.07</v>
      </c>
      <c r="E52" s="6">
        <v>23.73</v>
      </c>
      <c r="F52" s="553" t="str">
        <f t="shared" si="18"/>
        <v>22.07 - 23.73mm</v>
      </c>
      <c r="G52" s="553"/>
      <c r="H52" s="90" t="s">
        <v>445</v>
      </c>
      <c r="I52" s="90"/>
      <c r="J52" s="673">
        <v>35</v>
      </c>
      <c r="K52" s="673">
        <v>40</v>
      </c>
      <c r="L52" s="701">
        <f t="shared" si="12"/>
        <v>0.14285714285714285</v>
      </c>
      <c r="M52" s="701"/>
      <c r="N52" s="674">
        <f t="shared" si="13"/>
        <v>24.5</v>
      </c>
      <c r="O52" s="674">
        <f t="shared" si="14"/>
        <v>32</v>
      </c>
      <c r="P52" s="701">
        <f t="shared" si="15"/>
        <v>0.30612244897959184</v>
      </c>
      <c r="R52" s="360" t="s">
        <v>445</v>
      </c>
      <c r="S52" s="391" t="str">
        <f t="shared" si="16"/>
        <v>M71MM Insert (22.07 - 23.73mm)</v>
      </c>
      <c r="T52" s="554">
        <f t="shared" si="17"/>
        <v>40</v>
      </c>
    </row>
    <row r="53" spans="3:20" ht="15" x14ac:dyDescent="0.25">
      <c r="C53" s="90" t="s">
        <v>532</v>
      </c>
      <c r="D53" s="6">
        <v>23.74</v>
      </c>
      <c r="E53" s="6">
        <v>25.4</v>
      </c>
      <c r="F53" s="553" t="str">
        <f t="shared" si="18"/>
        <v>23.74 - 25.40mm</v>
      </c>
      <c r="G53" s="553"/>
      <c r="H53" s="90" t="s">
        <v>446</v>
      </c>
      <c r="I53" s="90"/>
      <c r="J53" s="673">
        <v>35</v>
      </c>
      <c r="K53" s="673">
        <v>40</v>
      </c>
      <c r="L53" s="701">
        <f t="shared" si="12"/>
        <v>0.14285714285714285</v>
      </c>
      <c r="M53" s="701"/>
      <c r="N53" s="674">
        <f t="shared" si="13"/>
        <v>24.5</v>
      </c>
      <c r="O53" s="674">
        <f t="shared" si="14"/>
        <v>32</v>
      </c>
      <c r="P53" s="701">
        <f t="shared" si="15"/>
        <v>0.30612244897959184</v>
      </c>
      <c r="R53" s="198" t="s">
        <v>446</v>
      </c>
      <c r="S53" s="390" t="str">
        <f t="shared" si="16"/>
        <v>M8MM Insert (23.74 - 25.40mm)</v>
      </c>
      <c r="T53" s="243">
        <f t="shared" si="17"/>
        <v>40</v>
      </c>
    </row>
    <row r="54" spans="3:20" thickBot="1" x14ac:dyDescent="0.3">
      <c r="C54" s="90" t="s">
        <v>533</v>
      </c>
      <c r="D54" s="6">
        <v>23.75</v>
      </c>
      <c r="E54" s="6">
        <v>25.41</v>
      </c>
      <c r="F54" s="553" t="str">
        <f t="shared" si="18"/>
        <v>23.75 - 25.41mm</v>
      </c>
      <c r="G54" s="553"/>
      <c r="H54" s="90" t="s">
        <v>447</v>
      </c>
      <c r="I54" s="90"/>
      <c r="J54" s="673">
        <v>35</v>
      </c>
      <c r="K54" s="673">
        <v>40</v>
      </c>
      <c r="L54" s="701">
        <f t="shared" si="12"/>
        <v>0.14285714285714285</v>
      </c>
      <c r="M54" s="701"/>
      <c r="N54" s="674">
        <f t="shared" si="13"/>
        <v>24.5</v>
      </c>
      <c r="O54" s="674">
        <f>(1-$O$5)*$K54</f>
        <v>32</v>
      </c>
      <c r="P54" s="701">
        <f>((O54-N54)/N54)</f>
        <v>0.30612244897959184</v>
      </c>
      <c r="R54" s="361" t="s">
        <v>447</v>
      </c>
      <c r="S54" s="392" t="str">
        <f t="shared" si="16"/>
        <v>M81MM Insert (23.75 - 25.41mm)</v>
      </c>
      <c r="T54" s="555">
        <f t="shared" si="17"/>
        <v>40</v>
      </c>
    </row>
    <row r="55" spans="3:20" ht="15" x14ac:dyDescent="0.25">
      <c r="H55" s="13"/>
      <c r="I55" s="13"/>
      <c r="L55" s="701"/>
      <c r="M55" s="701"/>
      <c r="R55" s="35"/>
      <c r="S55" s="35"/>
    </row>
    <row r="56" spans="3:20" ht="15" x14ac:dyDescent="0.25">
      <c r="L56" s="701"/>
      <c r="M56" s="701"/>
      <c r="R56"/>
      <c r="S56"/>
    </row>
    <row r="57" spans="3:20" ht="15" x14ac:dyDescent="0.25">
      <c r="L57" s="701"/>
      <c r="M57" s="701"/>
      <c r="R57"/>
      <c r="S57"/>
    </row>
    <row r="58" spans="3:20" ht="15" x14ac:dyDescent="0.25">
      <c r="L58" s="701"/>
      <c r="M58" s="701"/>
      <c r="R58"/>
      <c r="S58"/>
    </row>
    <row r="59" spans="3:20" ht="15" x14ac:dyDescent="0.25">
      <c r="L59" s="701"/>
      <c r="M59" s="701"/>
      <c r="R59"/>
      <c r="S59"/>
    </row>
    <row r="60" spans="3:20" ht="15" x14ac:dyDescent="0.25">
      <c r="L60" s="701"/>
      <c r="M60" s="701"/>
      <c r="R60"/>
      <c r="S60"/>
    </row>
    <row r="61" spans="3:20" ht="15" x14ac:dyDescent="0.25">
      <c r="L61" s="701"/>
      <c r="M61" s="701"/>
      <c r="R61"/>
      <c r="S61"/>
    </row>
    <row r="62" spans="3:20" ht="15" x14ac:dyDescent="0.25">
      <c r="L62" s="701"/>
      <c r="M62" s="701"/>
      <c r="R62"/>
      <c r="S62"/>
    </row>
    <row r="63" spans="3:20" ht="15" x14ac:dyDescent="0.25">
      <c r="L63" s="701"/>
      <c r="M63" s="701"/>
      <c r="R63"/>
      <c r="S63"/>
    </row>
    <row r="64" spans="3:20" ht="15" x14ac:dyDescent="0.25">
      <c r="L64" s="701"/>
      <c r="M64" s="701"/>
      <c r="R64"/>
      <c r="S64"/>
    </row>
    <row r="65" spans="12:19" ht="15" x14ac:dyDescent="0.25">
      <c r="L65" s="701"/>
      <c r="M65" s="701"/>
      <c r="R65"/>
      <c r="S65"/>
    </row>
    <row r="66" spans="12:19" ht="15" x14ac:dyDescent="0.25">
      <c r="L66" s="701"/>
      <c r="M66" s="701"/>
      <c r="R66"/>
      <c r="S66"/>
    </row>
    <row r="67" spans="12:19" ht="15" x14ac:dyDescent="0.25">
      <c r="L67" s="701"/>
      <c r="M67" s="701"/>
      <c r="R67"/>
      <c r="S67"/>
    </row>
    <row r="68" spans="12:19" ht="15" x14ac:dyDescent="0.25">
      <c r="L68" s="701"/>
      <c r="M68" s="701"/>
      <c r="R68"/>
      <c r="S68"/>
    </row>
    <row r="69" spans="12:19" ht="15" x14ac:dyDescent="0.25">
      <c r="R69"/>
      <c r="S69"/>
    </row>
    <row r="70" spans="12:19" ht="15" x14ac:dyDescent="0.25">
      <c r="R70"/>
      <c r="S70"/>
    </row>
  </sheetData>
  <conditionalFormatting sqref="R5">
    <cfRule type="expression" dxfId="6" priority="1">
      <formula>#REF!="y"</formula>
    </cfRule>
  </conditionalFormatting>
  <conditionalFormatting sqref="R15">
    <cfRule type="expression" dxfId="5" priority="14">
      <formula>#REF!="y"</formula>
    </cfRule>
  </conditionalFormatting>
  <conditionalFormatting sqref="R35">
    <cfRule type="expression" dxfId="4" priority="4">
      <formula>#REF!="y"</formula>
    </cfRule>
  </conditionalFormatting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75CF9-96D6-4421-9E94-660980254709}">
  <sheetPr codeName="Sheet26">
    <outlinePr summaryBelow="0"/>
  </sheetPr>
  <dimension ref="A1:W56"/>
  <sheetViews>
    <sheetView showGridLines="0" zoomScale="90" zoomScaleNormal="90" workbookViewId="0">
      <selection activeCell="Q67" sqref="Q67"/>
    </sheetView>
  </sheetViews>
  <sheetFormatPr defaultRowHeight="15" outlineLevelRow="1" outlineLevelCol="1" x14ac:dyDescent="0.25"/>
  <cols>
    <col min="1" max="2" width="1.7109375" customWidth="1"/>
    <col min="3" max="7" width="8.85546875" hidden="1" customWidth="1" outlineLevel="1"/>
    <col min="8" max="8" width="1.7109375" hidden="1" customWidth="1" outlineLevel="1"/>
    <col min="9" max="9" width="15.28515625" style="3" hidden="1" customWidth="1" outlineLevel="1"/>
    <col min="10" max="10" width="12.42578125" hidden="1" customWidth="1" outlineLevel="1"/>
    <col min="11" max="11" width="1.7109375" hidden="1" customWidth="1" outlineLevel="1"/>
    <col min="12" max="12" width="15.7109375" hidden="1" customWidth="1" outlineLevel="1"/>
    <col min="13" max="13" width="14.42578125" hidden="1" customWidth="1" outlineLevel="1"/>
    <col min="14" max="14" width="1.7109375" hidden="1" customWidth="1" outlineLevel="1"/>
    <col min="15" max="15" width="8.85546875" hidden="1" customWidth="1" outlineLevel="1"/>
    <col min="16" max="16" width="1.7109375" hidden="1" customWidth="1" outlineLevel="1"/>
    <col min="17" max="17" width="16.28515625" customWidth="1" collapsed="1"/>
    <col min="18" max="19" width="20.140625" customWidth="1"/>
    <col min="20" max="21" width="17.85546875" customWidth="1"/>
    <col min="22" max="22" width="14.42578125" customWidth="1"/>
    <col min="25" max="25" width="21.140625" customWidth="1"/>
  </cols>
  <sheetData>
    <row r="1" spans="3:20" ht="5.0999999999999996" customHeight="1" x14ac:dyDescent="0.25"/>
    <row r="2" spans="3:20" ht="21" x14ac:dyDescent="0.35">
      <c r="C2" s="14" t="s">
        <v>472</v>
      </c>
      <c r="E2" s="41" t="s">
        <v>647</v>
      </c>
      <c r="Q2" s="1" t="s">
        <v>1139</v>
      </c>
    </row>
    <row r="4" spans="3:20" ht="15.75" thickBot="1" x14ac:dyDescent="0.3">
      <c r="C4" s="743" t="s">
        <v>893</v>
      </c>
      <c r="D4" s="743" t="s">
        <v>894</v>
      </c>
    </row>
    <row r="5" spans="3:20" x14ac:dyDescent="0.25">
      <c r="C5" s="2">
        <v>280</v>
      </c>
      <c r="D5" s="2" t="s">
        <v>855</v>
      </c>
      <c r="Q5" s="767" t="s">
        <v>419</v>
      </c>
      <c r="R5" s="767"/>
      <c r="S5" s="767"/>
      <c r="T5" s="768"/>
    </row>
    <row r="6" spans="3:20" ht="17.25" x14ac:dyDescent="0.4">
      <c r="Q6" s="1092" t="s">
        <v>9</v>
      </c>
      <c r="R6" s="567" t="s">
        <v>3</v>
      </c>
      <c r="S6" s="17"/>
      <c r="T6" s="1090" t="s">
        <v>573</v>
      </c>
    </row>
    <row r="7" spans="3:20" x14ac:dyDescent="0.25">
      <c r="G7">
        <v>25.4</v>
      </c>
      <c r="Q7" s="1093"/>
      <c r="R7" s="613" t="s">
        <v>4</v>
      </c>
      <c r="S7" s="359" t="s">
        <v>5</v>
      </c>
      <c r="T7" s="1091"/>
    </row>
    <row r="8" spans="3:20" x14ac:dyDescent="0.25">
      <c r="C8" s="465">
        <v>1.5599999999999999E-2</v>
      </c>
      <c r="D8" s="465">
        <v>0.375</v>
      </c>
      <c r="E8" s="3"/>
      <c r="F8" s="466">
        <v>0.39600000000000002</v>
      </c>
      <c r="G8" s="466">
        <f>D8*$G$7</f>
        <v>9.5249999999999986</v>
      </c>
      <c r="I8" s="13" t="s">
        <v>475</v>
      </c>
      <c r="J8" s="758">
        <v>25</v>
      </c>
      <c r="Q8" s="198" t="s">
        <v>475</v>
      </c>
      <c r="R8" s="760" t="str">
        <f>_xlfn.CONCAT(TEXT($C8,"#.0000"),"""",$C$2,TEXT($D8,"#.0000"),"""")</f>
        <v>.0156" - .3750"</v>
      </c>
      <c r="S8" s="221" t="str">
        <f>_xlfn.CONCAT(TEXT($F8,"#.00"),$C$2,TEXT($G8,"0.00"),"mm")</f>
        <v>.40 - 9.53mm</v>
      </c>
      <c r="T8" s="1044">
        <v>25</v>
      </c>
    </row>
    <row r="9" spans="3:20" ht="15.75" thickBot="1" x14ac:dyDescent="0.3">
      <c r="C9" s="465">
        <v>0.37509999999999999</v>
      </c>
      <c r="D9" s="465">
        <v>0.875</v>
      </c>
      <c r="E9" s="3"/>
      <c r="F9" s="466">
        <f>G8+0.01</f>
        <v>9.5349999999999984</v>
      </c>
      <c r="G9" s="466">
        <f>D9*$G$7</f>
        <v>22.224999999999998</v>
      </c>
      <c r="I9" s="13" t="s">
        <v>476</v>
      </c>
      <c r="J9" s="758">
        <v>30</v>
      </c>
      <c r="Q9" s="451" t="s">
        <v>476</v>
      </c>
      <c r="R9" s="761" t="str">
        <f>_xlfn.CONCAT(TEXT($C9,"#.0000"),"""",$C$2,TEXT($D9,"#.0000"),"""")</f>
        <v>.3751" - .8750"</v>
      </c>
      <c r="S9" s="452" t="str">
        <f>_xlfn.CONCAT(TEXT($F9,"#.00"),$C$2,TEXT($G9,"0.00"),"mm")</f>
        <v>9.54 - 22.23mm</v>
      </c>
      <c r="T9" s="1045">
        <v>30</v>
      </c>
    </row>
    <row r="12" spans="3:20" ht="9.9499999999999993" customHeight="1" thickBot="1" x14ac:dyDescent="0.3"/>
    <row r="13" spans="3:20" x14ac:dyDescent="0.25">
      <c r="Q13" s="767" t="s">
        <v>449</v>
      </c>
      <c r="R13" s="767"/>
      <c r="S13" s="767"/>
      <c r="T13" s="768"/>
    </row>
    <row r="14" spans="3:20" ht="17.25" x14ac:dyDescent="0.4">
      <c r="C14" s="22" t="s">
        <v>900</v>
      </c>
      <c r="D14" s="3"/>
      <c r="F14" s="22" t="s">
        <v>635</v>
      </c>
      <c r="G14" s="5"/>
      <c r="H14" s="5"/>
      <c r="I14" s="5"/>
      <c r="J14" s="5"/>
      <c r="K14" s="5"/>
      <c r="L14" s="5"/>
      <c r="O14" s="5"/>
      <c r="Q14" s="1082" t="s">
        <v>399</v>
      </c>
      <c r="R14" s="559" t="s">
        <v>3</v>
      </c>
      <c r="S14" s="17"/>
      <c r="T14" s="1090" t="s">
        <v>573</v>
      </c>
    </row>
    <row r="15" spans="3:20" x14ac:dyDescent="0.25">
      <c r="C15" s="21" t="s">
        <v>6</v>
      </c>
      <c r="D15" s="20"/>
      <c r="F15" s="21" t="s">
        <v>7</v>
      </c>
      <c r="G15" s="20"/>
      <c r="H15" s="5"/>
      <c r="I15" s="40" t="s">
        <v>9</v>
      </c>
      <c r="J15" s="5"/>
      <c r="K15" s="5"/>
      <c r="L15" s="804"/>
      <c r="M15" s="804"/>
      <c r="O15" s="5"/>
      <c r="Q15" s="1083"/>
      <c r="R15" s="751" t="s">
        <v>4</v>
      </c>
      <c r="S15" s="359" t="s">
        <v>5</v>
      </c>
      <c r="T15" s="1091"/>
    </row>
    <row r="16" spans="3:20" x14ac:dyDescent="0.25">
      <c r="C16" s="754">
        <v>0.23100000000000001</v>
      </c>
      <c r="D16" s="465">
        <v>0.36499999999999999</v>
      </c>
      <c r="F16" s="755">
        <v>5.85</v>
      </c>
      <c r="G16" s="466">
        <v>9.27</v>
      </c>
      <c r="H16" s="6"/>
      <c r="I16" s="3" t="s">
        <v>450</v>
      </c>
      <c r="J16" s="758">
        <v>18</v>
      </c>
      <c r="K16" s="758"/>
      <c r="L16" s="804"/>
      <c r="M16" s="804"/>
      <c r="O16" s="6"/>
      <c r="Q16" s="308">
        <v>1</v>
      </c>
      <c r="R16" s="11" t="str">
        <f>_xlfn.CONCAT(TEXT($C16,"#.000"),"""",$C$2,TEXT($D16,"#.000"),"""")</f>
        <v>.231" - .365"</v>
      </c>
      <c r="S16" s="221" t="str">
        <f>_xlfn.CONCAT(TEXT($F16,"0.00"),$C$2,TEXT($G16,"0.00"),"mm")</f>
        <v>5.85 - 9.27mm</v>
      </c>
      <c r="T16" s="1044">
        <v>18</v>
      </c>
    </row>
    <row r="17" spans="3:21" x14ac:dyDescent="0.25">
      <c r="C17" s="465">
        <v>0.36599999999999999</v>
      </c>
      <c r="D17" s="465">
        <v>0.51</v>
      </c>
      <c r="F17" s="466">
        <v>9.2799999999999994</v>
      </c>
      <c r="G17" s="466">
        <v>12.95</v>
      </c>
      <c r="H17" s="6"/>
      <c r="I17" s="3" t="s">
        <v>451</v>
      </c>
      <c r="J17" s="758">
        <v>19</v>
      </c>
      <c r="K17" s="758"/>
      <c r="L17" s="804"/>
      <c r="M17" s="804"/>
      <c r="O17" s="6"/>
      <c r="Q17" s="1048">
        <v>2</v>
      </c>
      <c r="R17" s="1049" t="str">
        <f>_xlfn.CONCAT(TEXT($C17,"#.000"),"""",$C$2,TEXT($D17,"#.000"),"""")</f>
        <v>.366" - .510"</v>
      </c>
      <c r="S17" s="358" t="str">
        <f>_xlfn.CONCAT(TEXT($F17,"0.00"),$C$2,TEXT($G17,"0.00"),"mm")</f>
        <v>9.28 - 12.95mm</v>
      </c>
      <c r="T17" s="1050">
        <v>19</v>
      </c>
    </row>
    <row r="18" spans="3:21" x14ac:dyDescent="0.25">
      <c r="C18" s="465">
        <v>0.51100000000000001</v>
      </c>
      <c r="D18" s="465">
        <v>0.82499999999999996</v>
      </c>
      <c r="F18" s="466">
        <v>12.959999999999999</v>
      </c>
      <c r="G18" s="466">
        <v>20.96</v>
      </c>
      <c r="H18" s="6"/>
      <c r="I18" s="3" t="s">
        <v>452</v>
      </c>
      <c r="J18" s="758">
        <v>20</v>
      </c>
      <c r="K18" s="758"/>
      <c r="L18" s="804"/>
      <c r="M18" s="804"/>
      <c r="O18" s="6"/>
      <c r="Q18" s="308">
        <v>3</v>
      </c>
      <c r="R18" s="11" t="str">
        <f>_xlfn.CONCAT(TEXT($C18,"#.000"),"""",$C$2,TEXT($D18,"#.000"),"""")</f>
        <v>.511" - .825"</v>
      </c>
      <c r="S18" s="221" t="str">
        <f>_xlfn.CONCAT(TEXT($F18,"0.00"),$C$2,TEXT($G18,"0.00"),"mm")</f>
        <v>12.96 - 20.96mm</v>
      </c>
      <c r="T18" s="1044">
        <v>20</v>
      </c>
    </row>
    <row r="19" spans="3:21" x14ac:dyDescent="0.25">
      <c r="C19" s="465">
        <v>0.82599999999999996</v>
      </c>
      <c r="D19" s="465">
        <v>1.135</v>
      </c>
      <c r="F19" s="466">
        <v>20.970000000000002</v>
      </c>
      <c r="G19" s="466">
        <v>28.83</v>
      </c>
      <c r="H19" s="6"/>
      <c r="I19" s="3" t="s">
        <v>453</v>
      </c>
      <c r="J19" s="758">
        <v>21</v>
      </c>
      <c r="K19" s="758"/>
      <c r="L19" s="804"/>
      <c r="M19" s="804"/>
      <c r="O19" s="6"/>
      <c r="Q19" s="1048">
        <v>4</v>
      </c>
      <c r="R19" s="1049" t="str">
        <f>_xlfn.CONCAT(TEXT($C19,"#.000"),"""",$C$2,TEXT($D19,"#.000"),"""")</f>
        <v>.826" - 1.135"</v>
      </c>
      <c r="S19" s="358" t="str">
        <f>_xlfn.CONCAT(TEXT($F19,"0.00"),$C$2,TEXT($G19,"0.00"),"mm")</f>
        <v>20.97 - 28.83mm</v>
      </c>
      <c r="T19" s="1050">
        <v>21</v>
      </c>
    </row>
    <row r="20" spans="3:21" ht="15.75" thickBot="1" x14ac:dyDescent="0.3">
      <c r="C20" s="465">
        <v>1.1359999999999999</v>
      </c>
      <c r="D20" s="465">
        <v>1.51</v>
      </c>
      <c r="F20" s="466">
        <v>28.84</v>
      </c>
      <c r="G20" s="466">
        <v>38.35</v>
      </c>
      <c r="H20" s="6"/>
      <c r="I20" s="3" t="s">
        <v>454</v>
      </c>
      <c r="J20" s="758">
        <v>22</v>
      </c>
      <c r="K20" s="758"/>
      <c r="L20" s="804"/>
      <c r="M20" s="804"/>
      <c r="O20" s="6"/>
      <c r="Q20" s="762">
        <v>5</v>
      </c>
      <c r="R20" s="759" t="str">
        <f>_xlfn.CONCAT(TEXT($C20,"#.000"),"""",$C$2,TEXT($D20,"#.000"),"""")</f>
        <v>1.136" - 1.510"</v>
      </c>
      <c r="S20" s="452" t="str">
        <f>_xlfn.CONCAT(TEXT($F20,"0.00"),$C$2,TEXT($G20,"0.00"),"mm")</f>
        <v>28.84 - 38.35mm</v>
      </c>
      <c r="T20" s="1045">
        <v>22</v>
      </c>
    </row>
    <row r="21" spans="3:21" ht="7.9" customHeight="1" x14ac:dyDescent="0.25">
      <c r="F21" s="13"/>
    </row>
    <row r="22" spans="3:21" s="3" customFormat="1" x14ac:dyDescent="0.25">
      <c r="D22" s="51" t="s">
        <v>910</v>
      </c>
      <c r="Q22" s="511" t="str">
        <f>_xlfn.CONCAT($C$36,"  ",D22)</f>
        <v>•  Custom marking available upon request</v>
      </c>
    </row>
    <row r="23" spans="3:21" x14ac:dyDescent="0.25">
      <c r="R23" s="32"/>
    </row>
    <row r="24" spans="3:21" ht="15.75" thickBot="1" x14ac:dyDescent="0.3">
      <c r="R24" s="32"/>
    </row>
    <row r="25" spans="3:21" x14ac:dyDescent="0.25">
      <c r="Q25" s="767" t="s">
        <v>467</v>
      </c>
      <c r="R25" s="767"/>
      <c r="S25" s="767"/>
      <c r="T25" s="767"/>
      <c r="U25" s="768"/>
    </row>
    <row r="26" spans="3:21" ht="17.25" x14ac:dyDescent="0.4">
      <c r="I26"/>
      <c r="J26" s="144"/>
      <c r="K26" s="144"/>
      <c r="L26" s="144"/>
      <c r="M26" s="5"/>
      <c r="Q26" s="1082" t="s">
        <v>399</v>
      </c>
      <c r="R26" s="559" t="s">
        <v>3</v>
      </c>
      <c r="S26" s="17"/>
      <c r="T26" s="567" t="s">
        <v>573</v>
      </c>
      <c r="U26" s="756"/>
    </row>
    <row r="27" spans="3:21" x14ac:dyDescent="0.25">
      <c r="C27" s="21" t="s">
        <v>6</v>
      </c>
      <c r="D27" s="20"/>
      <c r="F27" s="21" t="s">
        <v>7</v>
      </c>
      <c r="G27" s="20"/>
      <c r="I27" s="18" t="s">
        <v>185</v>
      </c>
      <c r="J27" s="144"/>
      <c r="K27" s="144"/>
      <c r="L27" s="18" t="s">
        <v>199</v>
      </c>
      <c r="M27" s="758"/>
      <c r="Q27" s="1083"/>
      <c r="R27" s="751" t="s">
        <v>4</v>
      </c>
      <c r="S27" s="359" t="s">
        <v>5</v>
      </c>
      <c r="T27" s="613" t="s">
        <v>185</v>
      </c>
      <c r="U27" s="546" t="s">
        <v>199</v>
      </c>
    </row>
    <row r="28" spans="3:21" x14ac:dyDescent="0.25">
      <c r="C28" s="754">
        <v>0.7601</v>
      </c>
      <c r="D28" s="465">
        <v>0.94699999999999995</v>
      </c>
      <c r="F28" s="6">
        <v>19.309999999999999</v>
      </c>
      <c r="G28" s="6">
        <v>24.05</v>
      </c>
      <c r="I28" s="250" t="s">
        <v>455</v>
      </c>
      <c r="J28" s="758">
        <v>19</v>
      </c>
      <c r="K28" s="758"/>
      <c r="L28" s="3" t="s">
        <v>461</v>
      </c>
      <c r="M28" s="758">
        <v>21</v>
      </c>
      <c r="Q28" s="757" t="s">
        <v>468</v>
      </c>
      <c r="R28" s="760" t="str">
        <f t="shared" ref="R28:R33" si="0">_xlfn.CONCAT(TEXT($C28,"#.000"),"""",$C$2,TEXT($D28,"#.000"),"""")</f>
        <v>.760" - .947"</v>
      </c>
      <c r="S28" s="221" t="str">
        <f t="shared" ref="S28:S33" si="1">_xlfn.CONCAT(TEXT($F28,"0.00"),$C$2,TEXT($G28,"0.00"),"mm")</f>
        <v>19.31 - 24.05mm</v>
      </c>
      <c r="T28" s="1046">
        <v>19</v>
      </c>
      <c r="U28" s="1044">
        <v>21</v>
      </c>
    </row>
    <row r="29" spans="3:21" x14ac:dyDescent="0.25">
      <c r="C29" s="465">
        <v>0.94710000000000005</v>
      </c>
      <c r="D29" s="465">
        <v>1.135</v>
      </c>
      <c r="F29" s="6">
        <v>24.060000000000002</v>
      </c>
      <c r="G29" s="6">
        <v>28.83</v>
      </c>
      <c r="I29" s="250" t="s">
        <v>456</v>
      </c>
      <c r="J29" s="758">
        <v>20</v>
      </c>
      <c r="K29" s="758"/>
      <c r="L29" s="3" t="s">
        <v>462</v>
      </c>
      <c r="M29" s="758">
        <v>22</v>
      </c>
      <c r="Q29" s="1051" t="s">
        <v>469</v>
      </c>
      <c r="R29" s="1052" t="str">
        <f t="shared" si="0"/>
        <v>.947" - 1.135"</v>
      </c>
      <c r="S29" s="358" t="str">
        <f t="shared" si="1"/>
        <v>24.06 - 28.83mm</v>
      </c>
      <c r="T29" s="1053">
        <v>20</v>
      </c>
      <c r="U29" s="1050">
        <v>22</v>
      </c>
    </row>
    <row r="30" spans="3:21" x14ac:dyDescent="0.25">
      <c r="C30" s="465">
        <v>1.1351</v>
      </c>
      <c r="D30" s="465">
        <v>1.51</v>
      </c>
      <c r="F30" s="6">
        <v>28.84</v>
      </c>
      <c r="G30" s="6">
        <v>38.35</v>
      </c>
      <c r="I30" s="250" t="s">
        <v>457</v>
      </c>
      <c r="J30" s="758">
        <v>22</v>
      </c>
      <c r="K30" s="758"/>
      <c r="L30" s="3" t="s">
        <v>463</v>
      </c>
      <c r="M30" s="758">
        <v>24</v>
      </c>
      <c r="Q30" s="757" t="s">
        <v>470</v>
      </c>
      <c r="R30" s="431" t="str">
        <f t="shared" si="0"/>
        <v>1.135" - 1.510"</v>
      </c>
      <c r="S30" s="221" t="str">
        <f t="shared" si="1"/>
        <v>28.84 - 38.35mm</v>
      </c>
      <c r="T30" s="1047">
        <v>22</v>
      </c>
      <c r="U30" s="1044">
        <v>24</v>
      </c>
    </row>
    <row r="31" spans="3:21" x14ac:dyDescent="0.25">
      <c r="C31" s="465">
        <v>1.5101</v>
      </c>
      <c r="D31" s="465">
        <v>2.0099999999999998</v>
      </c>
      <c r="F31" s="6">
        <v>38.36</v>
      </c>
      <c r="G31" s="6">
        <v>51.05</v>
      </c>
      <c r="I31" s="250" t="s">
        <v>458</v>
      </c>
      <c r="J31" s="758">
        <v>24</v>
      </c>
      <c r="K31" s="758"/>
      <c r="L31" s="3" t="s">
        <v>464</v>
      </c>
      <c r="M31" s="758">
        <v>26</v>
      </c>
      <c r="Q31" s="1051" t="s">
        <v>471</v>
      </c>
      <c r="R31" s="1052" t="str">
        <f t="shared" si="0"/>
        <v>1.510" - 2.010"</v>
      </c>
      <c r="S31" s="358" t="str">
        <f t="shared" si="1"/>
        <v>38.36 - 51.05mm</v>
      </c>
      <c r="T31" s="1053">
        <v>24</v>
      </c>
      <c r="U31" s="1050">
        <v>26</v>
      </c>
    </row>
    <row r="32" spans="3:21" x14ac:dyDescent="0.25">
      <c r="C32" s="465">
        <v>2.0101</v>
      </c>
      <c r="D32" s="465">
        <v>2.5099999999999998</v>
      </c>
      <c r="F32" s="6">
        <v>51.059999999999995</v>
      </c>
      <c r="G32" s="6">
        <v>63.75</v>
      </c>
      <c r="I32" s="250" t="s">
        <v>459</v>
      </c>
      <c r="J32" s="758">
        <v>28</v>
      </c>
      <c r="K32" s="758"/>
      <c r="L32" s="3" t="s">
        <v>465</v>
      </c>
      <c r="M32" s="758">
        <v>30</v>
      </c>
      <c r="Q32" s="757">
        <v>6</v>
      </c>
      <c r="R32" s="431" t="str">
        <f t="shared" si="0"/>
        <v>2.010" - 2.510"</v>
      </c>
      <c r="S32" s="221" t="str">
        <f t="shared" si="1"/>
        <v>51.06 - 63.75mm</v>
      </c>
      <c r="T32" s="1047">
        <v>28</v>
      </c>
      <c r="U32" s="1044">
        <v>30</v>
      </c>
    </row>
    <row r="33" spans="3:23" ht="15.75" thickBot="1" x14ac:dyDescent="0.3">
      <c r="C33" s="465">
        <v>2.5101</v>
      </c>
      <c r="D33" s="465">
        <v>3.51</v>
      </c>
      <c r="F33" s="6">
        <v>63.76</v>
      </c>
      <c r="G33" s="6">
        <v>89.15</v>
      </c>
      <c r="I33" s="250" t="s">
        <v>460</v>
      </c>
      <c r="J33" s="758">
        <v>30</v>
      </c>
      <c r="K33" s="758"/>
      <c r="L33" s="3" t="s">
        <v>466</v>
      </c>
      <c r="M33" s="758">
        <v>34</v>
      </c>
      <c r="Q33" s="1054">
        <v>7</v>
      </c>
      <c r="R33" s="1055" t="str">
        <f t="shared" si="0"/>
        <v>2.510" - 3.510"</v>
      </c>
      <c r="S33" s="362" t="str">
        <f t="shared" si="1"/>
        <v>63.76 - 89.15mm</v>
      </c>
      <c r="T33" s="1056">
        <v>30</v>
      </c>
      <c r="U33" s="1057">
        <v>34</v>
      </c>
    </row>
    <row r="34" spans="3:23" ht="7.9" customHeight="1" x14ac:dyDescent="0.25">
      <c r="T34" s="47"/>
      <c r="U34" s="47"/>
      <c r="V34" s="3"/>
      <c r="W34" s="3"/>
    </row>
    <row r="35" spans="3:23" x14ac:dyDescent="0.25">
      <c r="D35" s="511"/>
      <c r="I35" s="11"/>
      <c r="Q35" s="719" t="s">
        <v>773</v>
      </c>
      <c r="U35" s="47"/>
      <c r="V35" s="3"/>
      <c r="W35" s="3"/>
    </row>
    <row r="36" spans="3:23" x14ac:dyDescent="0.25">
      <c r="C36" s="511" t="s">
        <v>648</v>
      </c>
      <c r="D36" t="s">
        <v>901</v>
      </c>
      <c r="I36" s="11"/>
      <c r="Q36" s="563" t="str">
        <f>_xlfn.CONCAT($C$36,"  ",D36)</f>
        <v>•  Single-end handles sold with Go screw, unless otherwise specified</v>
      </c>
      <c r="U36" s="47"/>
      <c r="V36" s="3"/>
      <c r="W36" s="3"/>
    </row>
    <row r="37" spans="3:23" x14ac:dyDescent="0.25">
      <c r="D37" t="s">
        <v>902</v>
      </c>
      <c r="I37" s="11"/>
      <c r="Q37" s="563" t="str">
        <f t="shared" ref="Q37:Q38" si="2">_xlfn.CONCAT($C$36,"  ",D37)</f>
        <v>•  Double-end handles sold with Go and NoGo screws</v>
      </c>
      <c r="U37" s="47"/>
      <c r="V37" s="3"/>
      <c r="W37" s="3"/>
    </row>
    <row r="38" spans="3:23" x14ac:dyDescent="0.25">
      <c r="D38" s="32" t="s">
        <v>910</v>
      </c>
      <c r="I38" s="11"/>
      <c r="Q38" s="563" t="str">
        <f t="shared" si="2"/>
        <v>•  Custom marking available upon request</v>
      </c>
      <c r="U38" s="47"/>
      <c r="V38" s="3"/>
      <c r="W38" s="3"/>
    </row>
    <row r="39" spans="3:23" x14ac:dyDescent="0.25">
      <c r="R39" s="32"/>
    </row>
    <row r="40" spans="3:23" collapsed="1" x14ac:dyDescent="0.25">
      <c r="R40" s="32"/>
    </row>
    <row r="41" spans="3:23" hidden="1" outlineLevel="1" x14ac:dyDescent="0.25">
      <c r="R41" s="32"/>
    </row>
    <row r="42" spans="3:23" hidden="1" outlineLevel="1" x14ac:dyDescent="0.25">
      <c r="R42" s="32"/>
    </row>
    <row r="43" spans="3:23" hidden="1" outlineLevel="1" x14ac:dyDescent="0.25">
      <c r="Q43" s="18" t="s">
        <v>620</v>
      </c>
      <c r="R43" s="32"/>
    </row>
    <row r="44" spans="3:23" hidden="1" outlineLevel="1" x14ac:dyDescent="0.25">
      <c r="Q44" s="18"/>
      <c r="R44" s="32"/>
    </row>
    <row r="45" spans="3:23" hidden="1" outlineLevel="1" x14ac:dyDescent="0.25">
      <c r="R45" s="17" t="s">
        <v>3</v>
      </c>
      <c r="S45" s="17"/>
    </row>
    <row r="46" spans="3:23" hidden="1" outlineLevel="1" x14ac:dyDescent="0.25">
      <c r="Q46" s="16" t="s">
        <v>619</v>
      </c>
      <c r="R46" s="10" t="s">
        <v>4</v>
      </c>
      <c r="S46" s="16" t="s">
        <v>5</v>
      </c>
    </row>
    <row r="47" spans="3:23" hidden="1" outlineLevel="1" x14ac:dyDescent="0.25">
      <c r="C47" s="354">
        <v>0.2301</v>
      </c>
      <c r="D47" s="354">
        <v>0.36499999999999999</v>
      </c>
      <c r="F47" s="355">
        <v>5.8410000000000002</v>
      </c>
      <c r="G47" s="355">
        <v>9.27</v>
      </c>
      <c r="Q47" s="11">
        <v>1</v>
      </c>
      <c r="R47" s="11" t="str">
        <f>_xlfn.CONCAT(TEXT($C47,"#.000#"),"""",$C$2,TEXT($D47,"#.000#"),"""")</f>
        <v>.2301" - .365"</v>
      </c>
      <c r="S47" s="12" t="str">
        <f>_xlfn.CONCAT(TEXT($F47,"0.00#"),$C$2,TEXT($G47,"0.00#"),"mm")</f>
        <v>5.841 - 9.27mm</v>
      </c>
    </row>
    <row r="48" spans="3:23" hidden="1" outlineLevel="1" x14ac:dyDescent="0.25">
      <c r="C48" s="354">
        <v>0.36509999999999998</v>
      </c>
      <c r="D48" s="354">
        <v>0.51</v>
      </c>
      <c r="F48" s="355">
        <v>9.2710000000000008</v>
      </c>
      <c r="G48" s="355">
        <v>12.95</v>
      </c>
      <c r="Q48" s="11">
        <v>2</v>
      </c>
      <c r="R48" s="11" t="str">
        <f>_xlfn.CONCAT(TEXT($C48,"#.000#"),"""",$C$2,TEXT($D48,"#.000#"),"""")</f>
        <v>.3651" - .510"</v>
      </c>
      <c r="S48" s="12" t="str">
        <f>_xlfn.CONCAT(TEXT($F48,"0.00#"),$C$2,TEXT($G48,"0.00#"),"mm")</f>
        <v>9.271 - 12.95mm</v>
      </c>
    </row>
    <row r="49" spans="1:19" hidden="1" outlineLevel="1" x14ac:dyDescent="0.25">
      <c r="C49" s="354">
        <v>0.5101</v>
      </c>
      <c r="D49" s="354">
        <v>0.82499999999999996</v>
      </c>
      <c r="F49" s="355">
        <v>12.951000000000001</v>
      </c>
      <c r="G49" s="355">
        <v>20.96</v>
      </c>
      <c r="Q49" s="11">
        <v>3</v>
      </c>
      <c r="R49" s="11" t="str">
        <f>_xlfn.CONCAT(TEXT($C49,"#.000#"),"""",$C$2,TEXT($D49,"#.000#"),"""")</f>
        <v>.5101" - .825"</v>
      </c>
      <c r="S49" s="12" t="str">
        <f>_xlfn.CONCAT(TEXT($F49,"0.00#"),$C$2,TEXT($G49,"0.00#"),"mm")</f>
        <v>12.951 - 20.96mm</v>
      </c>
    </row>
    <row r="50" spans="1:19" hidden="1" outlineLevel="1" x14ac:dyDescent="0.25">
      <c r="C50" s="144">
        <v>0.82509999999999994</v>
      </c>
      <c r="D50" s="144">
        <v>1.135</v>
      </c>
      <c r="F50" s="355">
        <v>20.960999999999999</v>
      </c>
      <c r="G50" s="355">
        <v>28.83</v>
      </c>
      <c r="Q50" s="11">
        <v>4</v>
      </c>
      <c r="R50" s="11" t="str">
        <f>_xlfn.CONCAT(TEXT($C50,"#.000#"),"""",$C$2,TEXT($D50,"#.000#"),"""")</f>
        <v>.8251" - 1.135"</v>
      </c>
      <c r="S50" s="12" t="str">
        <f>_xlfn.CONCAT(TEXT($F50,"0.00#"),$C$2,TEXT($G50,"0.00#"),"mm")</f>
        <v>20.961 - 28.83mm</v>
      </c>
    </row>
    <row r="51" spans="1:19" hidden="1" outlineLevel="1" x14ac:dyDescent="0.25">
      <c r="C51" s="354">
        <v>1.1351</v>
      </c>
      <c r="D51" s="354">
        <v>1.51</v>
      </c>
      <c r="F51" s="355">
        <v>29.831</v>
      </c>
      <c r="G51" s="355">
        <v>38.35</v>
      </c>
      <c r="Q51" s="11">
        <v>5</v>
      </c>
      <c r="R51" s="11" t="str">
        <f>_xlfn.CONCAT(TEXT($C51,"#.000#"),"""",$C$2,TEXT($D51,"#.000#"),"""")</f>
        <v>1.1351" - 1.510"</v>
      </c>
      <c r="S51" s="12" t="str">
        <f>_xlfn.CONCAT(TEXT($F51,"0.00#"),$C$2,TEXT($G51,"0.00#"),"mm")</f>
        <v>29.831 - 38.35mm</v>
      </c>
    </row>
    <row r="52" spans="1:19" hidden="1" outlineLevel="1" x14ac:dyDescent="0.25"/>
    <row r="53" spans="1:19" hidden="1" outlineLevel="1" x14ac:dyDescent="0.25"/>
    <row r="54" spans="1:19" hidden="1" outlineLevel="1" x14ac:dyDescent="0.25"/>
    <row r="55" spans="1:19" hidden="1" outlineLevel="1" x14ac:dyDescent="0.25">
      <c r="A55" s="50"/>
      <c r="B55" s="50"/>
    </row>
    <row r="56" spans="1:19" hidden="1" outlineLevel="1" x14ac:dyDescent="0.25"/>
  </sheetData>
  <mergeCells count="5">
    <mergeCell ref="Q26:Q27"/>
    <mergeCell ref="Q14:Q15"/>
    <mergeCell ref="T14:T15"/>
    <mergeCell ref="Q6:Q7"/>
    <mergeCell ref="T6:T7"/>
  </mergeCells>
  <conditionalFormatting sqref="Q22">
    <cfRule type="expression" dxfId="3" priority="1">
      <formula>#REF!="y"</formula>
    </cfRule>
  </conditionalFormatting>
  <conditionalFormatting sqref="Q35">
    <cfRule type="expression" dxfId="2" priority="5">
      <formula>$U35="y"</formula>
    </cfRule>
  </conditionalFormatting>
  <conditionalFormatting sqref="Q36:Q38">
    <cfRule type="expression" dxfId="1" priority="2">
      <formula>#REF!="y"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CC4AD-B3A0-439A-82CB-E6AA4218785D}">
  <sheetPr codeName="Sheet13">
    <outlinePr summaryBelow="0"/>
    <pageSetUpPr fitToPage="1"/>
  </sheetPr>
  <dimension ref="B1:AI54"/>
  <sheetViews>
    <sheetView topLeftCell="A23" zoomScale="90" zoomScaleNormal="90" workbookViewId="0">
      <selection activeCell="M23" sqref="M23"/>
    </sheetView>
  </sheetViews>
  <sheetFormatPr defaultColWidth="8.85546875" defaultRowHeight="15" outlineLevelRow="1" outlineLevelCol="1" x14ac:dyDescent="0.25"/>
  <cols>
    <col min="1" max="1" width="1.7109375" customWidth="1"/>
    <col min="2" max="3" width="11.7109375" style="3" customWidth="1" outlineLevel="1"/>
    <col min="4" max="4" width="2.7109375" style="3" customWidth="1" outlineLevel="1"/>
    <col min="5" max="6" width="11.5703125" style="3" customWidth="1" outlineLevel="1"/>
    <col min="7" max="7" width="2.7109375" style="3" customWidth="1" outlineLevel="1"/>
    <col min="8" max="10" width="11.5703125" style="3" customWidth="1" outlineLevel="1"/>
    <col min="11" max="11" width="3.7109375" customWidth="1" outlineLevel="1"/>
    <col min="12" max="12" width="17.140625" customWidth="1"/>
    <col min="13" max="13" width="16.140625" style="11" customWidth="1"/>
    <col min="14" max="14" width="17.7109375" style="11" customWidth="1"/>
    <col min="15" max="15" width="15.85546875" customWidth="1"/>
    <col min="16" max="17" width="15.28515625" style="11" customWidth="1"/>
    <col min="18" max="18" width="3.7109375" customWidth="1"/>
    <col min="19" max="19" width="14" style="36" customWidth="1" outlineLevel="1"/>
    <col min="20" max="20" width="2.7109375" customWidth="1" outlineLevel="1"/>
    <col min="21" max="22" width="14.28515625" customWidth="1" outlineLevel="1"/>
    <col min="23" max="23" width="10.7109375" style="11" customWidth="1" outlineLevel="1"/>
    <col min="24" max="29" width="10.7109375" customWidth="1"/>
    <col min="30" max="30" width="12.7109375" customWidth="1"/>
    <col min="31" max="31" width="2.7109375" customWidth="1"/>
    <col min="32" max="32" width="12.28515625" customWidth="1"/>
    <col min="33" max="33" width="2.7109375" customWidth="1"/>
    <col min="34" max="34" width="12" customWidth="1"/>
    <col min="35" max="35" width="14.5703125" customWidth="1"/>
    <col min="36" max="41" width="15.7109375" customWidth="1"/>
  </cols>
  <sheetData>
    <row r="1" spans="2:35" ht="5.0999999999999996" customHeight="1" x14ac:dyDescent="0.25"/>
    <row r="2" spans="2:35" ht="21" x14ac:dyDescent="0.35">
      <c r="L2" s="1" t="s">
        <v>912</v>
      </c>
      <c r="M2" s="618"/>
    </row>
    <row r="3" spans="2:35" s="9" customFormat="1" ht="15.75" x14ac:dyDescent="0.25">
      <c r="D3" s="617"/>
      <c r="E3" s="617"/>
      <c r="F3" s="617"/>
      <c r="G3" s="617"/>
      <c r="H3" s="617"/>
      <c r="I3" s="617"/>
      <c r="J3" s="617"/>
      <c r="K3" s="46"/>
      <c r="L3" s="9" t="s">
        <v>913</v>
      </c>
      <c r="M3" s="23"/>
      <c r="N3" s="7"/>
      <c r="P3" s="7"/>
      <c r="Q3" s="7"/>
      <c r="S3" s="36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</row>
    <row r="4" spans="2:35" collapsed="1" x14ac:dyDescent="0.25">
      <c r="B4"/>
      <c r="C4"/>
      <c r="D4" s="40"/>
      <c r="E4" s="40"/>
      <c r="F4" s="40"/>
      <c r="G4" s="40"/>
      <c r="H4" s="40"/>
      <c r="I4" s="40"/>
      <c r="J4" s="40"/>
      <c r="K4" s="18"/>
      <c r="M4" s="16"/>
      <c r="W4"/>
    </row>
    <row r="5" spans="2:35" hidden="1" outlineLevel="1" x14ac:dyDescent="0.25">
      <c r="B5" s="897" t="s">
        <v>893</v>
      </c>
      <c r="C5" s="897" t="s">
        <v>894</v>
      </c>
      <c r="D5" s="40"/>
      <c r="E5" s="40"/>
      <c r="F5" s="40"/>
      <c r="G5" s="40"/>
      <c r="H5" s="40"/>
      <c r="I5" s="40"/>
      <c r="J5" s="40"/>
      <c r="K5" s="18"/>
      <c r="M5" s="16"/>
      <c r="W5"/>
    </row>
    <row r="6" spans="2:35" hidden="1" outlineLevel="1" x14ac:dyDescent="0.25">
      <c r="B6" s="564">
        <v>101</v>
      </c>
      <c r="C6" s="564" t="s">
        <v>792</v>
      </c>
      <c r="D6" s="40"/>
      <c r="E6" s="40"/>
      <c r="F6" s="40"/>
      <c r="G6" s="40"/>
      <c r="H6" s="40"/>
      <c r="I6" s="40"/>
      <c r="J6" s="40"/>
      <c r="K6" s="18"/>
      <c r="M6" s="16"/>
      <c r="W6"/>
    </row>
    <row r="7" spans="2:35" hidden="1" outlineLevel="1" x14ac:dyDescent="0.25">
      <c r="B7" s="564">
        <v>105</v>
      </c>
      <c r="C7" s="564" t="s">
        <v>793</v>
      </c>
      <c r="D7" s="40"/>
      <c r="E7" s="40"/>
      <c r="F7" s="40"/>
      <c r="G7" s="40"/>
      <c r="H7" s="40"/>
      <c r="I7" s="40"/>
      <c r="J7" s="40"/>
      <c r="K7" s="18"/>
      <c r="M7" s="16"/>
      <c r="W7"/>
    </row>
    <row r="8" spans="2:35" hidden="1" outlineLevel="1" x14ac:dyDescent="0.25">
      <c r="B8" s="564">
        <v>106</v>
      </c>
      <c r="C8" s="564" t="s">
        <v>729</v>
      </c>
      <c r="D8" s="40"/>
      <c r="E8" s="40"/>
      <c r="F8" s="40"/>
      <c r="G8" s="40"/>
      <c r="H8" s="40"/>
      <c r="I8" s="40"/>
      <c r="J8" s="40"/>
      <c r="K8" s="18"/>
      <c r="M8" s="16"/>
      <c r="W8"/>
    </row>
    <row r="9" spans="2:35" hidden="1" outlineLevel="1" x14ac:dyDescent="0.25">
      <c r="D9" s="40"/>
      <c r="E9" s="40"/>
      <c r="F9" s="40"/>
      <c r="G9" s="40"/>
      <c r="H9" s="40"/>
      <c r="I9" s="40"/>
      <c r="J9" s="40"/>
      <c r="K9" s="18"/>
      <c r="M9" s="16"/>
      <c r="W9"/>
    </row>
    <row r="10" spans="2:35" hidden="1" outlineLevel="1" x14ac:dyDescent="0.25">
      <c r="D10" s="40"/>
      <c r="E10" s="40"/>
      <c r="F10" s="40"/>
      <c r="G10" s="40"/>
      <c r="H10" s="40"/>
      <c r="I10" s="40"/>
      <c r="J10" s="40"/>
      <c r="K10" s="18"/>
      <c r="M10" s="16"/>
      <c r="W10"/>
    </row>
    <row r="11" spans="2:35" x14ac:dyDescent="0.25">
      <c r="B11" s="898" t="s">
        <v>648</v>
      </c>
      <c r="C11" s="515" t="s">
        <v>914</v>
      </c>
      <c r="D11" s="40"/>
      <c r="E11" s="40"/>
      <c r="F11" s="40"/>
      <c r="G11" s="40"/>
      <c r="H11" s="40"/>
      <c r="I11" s="40"/>
      <c r="J11" s="40"/>
      <c r="K11" s="18"/>
      <c r="L11" s="898" t="str">
        <f>_xlfn.CONCAT($B$11,"  ",$C11)</f>
        <v>•  Class ZZ (.0002" tolerance)</v>
      </c>
      <c r="M11" s="16"/>
      <c r="W11"/>
    </row>
    <row r="12" spans="2:35" x14ac:dyDescent="0.25">
      <c r="B12" s="80"/>
      <c r="C12" s="13" t="s">
        <v>641</v>
      </c>
      <c r="D12" s="40"/>
      <c r="E12" s="40"/>
      <c r="F12" s="40"/>
      <c r="G12" s="40"/>
      <c r="H12" s="40"/>
      <c r="I12" s="40"/>
      <c r="J12" s="40"/>
      <c r="K12" s="18"/>
      <c r="L12" s="898" t="str">
        <f t="shared" ref="L12:L13" si="0">_xlfn.CONCAT($B$11,"  ",$C12)</f>
        <v>•  Go (Plus) or NoGo (Minus)</v>
      </c>
      <c r="M12" s="16"/>
      <c r="W12"/>
    </row>
    <row r="13" spans="2:35" x14ac:dyDescent="0.25">
      <c r="B13"/>
      <c r="C13" s="13" t="s">
        <v>923</v>
      </c>
      <c r="D13" s="40"/>
      <c r="E13" s="40"/>
      <c r="F13" s="40"/>
      <c r="G13" s="40"/>
      <c r="H13" s="40"/>
      <c r="I13" s="40"/>
      <c r="J13" s="40"/>
      <c r="K13" s="18"/>
      <c r="L13" s="898" t="str">
        <f t="shared" si="0"/>
        <v>•  Available while supplies last</v>
      </c>
      <c r="M13" s="16"/>
      <c r="W13"/>
    </row>
    <row r="14" spans="2:35" x14ac:dyDescent="0.25">
      <c r="D14" s="40"/>
      <c r="E14" s="40"/>
      <c r="F14" s="40"/>
      <c r="G14" s="40"/>
      <c r="H14" s="40"/>
      <c r="I14" s="40"/>
      <c r="J14" s="40"/>
      <c r="K14" s="18"/>
      <c r="M14" s="16"/>
      <c r="W14"/>
    </row>
    <row r="15" spans="2:35" ht="15.75" thickBot="1" x14ac:dyDescent="0.3">
      <c r="D15" s="40"/>
      <c r="E15" s="40"/>
      <c r="F15" s="40"/>
      <c r="G15" s="40"/>
      <c r="H15" s="40"/>
      <c r="I15" s="40"/>
      <c r="J15" s="40"/>
      <c r="K15" s="18"/>
      <c r="M15" s="16"/>
      <c r="W15"/>
    </row>
    <row r="16" spans="2:35" x14ac:dyDescent="0.25">
      <c r="B16" s="55" t="s">
        <v>572</v>
      </c>
      <c r="C16" s="700">
        <v>1E-3</v>
      </c>
      <c r="D16" s="40"/>
      <c r="E16" s="40"/>
      <c r="F16" s="40"/>
      <c r="G16" s="40"/>
      <c r="J16" s="40"/>
      <c r="K16" s="18"/>
      <c r="L16" s="767" t="s">
        <v>915</v>
      </c>
      <c r="M16" s="773"/>
      <c r="W16"/>
    </row>
    <row r="17" spans="2:23" x14ac:dyDescent="0.25">
      <c r="D17" s="40"/>
      <c r="E17" s="40"/>
      <c r="F17" s="40"/>
      <c r="G17" s="40"/>
      <c r="H17" s="20" t="s">
        <v>636</v>
      </c>
      <c r="I17" s="20"/>
      <c r="J17" s="40"/>
      <c r="K17" s="18"/>
      <c r="L17" s="1008" t="s">
        <v>3</v>
      </c>
      <c r="M17" s="793" t="s">
        <v>573</v>
      </c>
      <c r="W17"/>
    </row>
    <row r="18" spans="2:23" x14ac:dyDescent="0.25">
      <c r="B18" s="1011">
        <v>1.0999999999999999E-2</v>
      </c>
      <c r="C18" s="465">
        <v>0.03</v>
      </c>
      <c r="D18" s="40"/>
      <c r="E18" s="810">
        <v>4.5</v>
      </c>
      <c r="F18" s="810">
        <v>7</v>
      </c>
      <c r="G18" s="810"/>
      <c r="H18" s="464">
        <f t="shared" ref="H18" si="1">IF(F18=0,0,F18-E18)</f>
        <v>2.5</v>
      </c>
      <c r="I18" s="463">
        <f>H18/E18</f>
        <v>0.55555555555555558</v>
      </c>
      <c r="J18" s="40"/>
      <c r="K18" s="18"/>
      <c r="L18" s="829" t="str">
        <f>_xlfn.CONCAT(TEXT($B18,"#.000"),""""," to ",TEXT($C18,"#.000"),"""")</f>
        <v>.011" to .030"</v>
      </c>
      <c r="M18" s="830">
        <f t="shared" ref="M18:M23" si="2">$F18</f>
        <v>7</v>
      </c>
      <c r="W18"/>
    </row>
    <row r="19" spans="2:23" x14ac:dyDescent="0.25">
      <c r="B19" s="811">
        <f>$C$16+C18</f>
        <v>3.1E-2</v>
      </c>
      <c r="C19" s="465">
        <v>7.4999999999999997E-2</v>
      </c>
      <c r="D19" s="40"/>
      <c r="E19" s="810">
        <v>4.5</v>
      </c>
      <c r="F19" s="810">
        <v>6</v>
      </c>
      <c r="G19" s="810"/>
      <c r="H19" s="464">
        <f t="shared" ref="H19:H23" si="3">IF(F19=0,0,F19-E19)</f>
        <v>1.5</v>
      </c>
      <c r="I19" s="463">
        <f t="shared" ref="I19:I23" si="4">H19/E19</f>
        <v>0.33333333333333331</v>
      </c>
      <c r="J19" s="40"/>
      <c r="K19" s="18"/>
      <c r="L19" s="1006" t="str">
        <f t="shared" ref="L19:L25" si="5">_xlfn.CONCAT(TEXT($B19,"#.000"),""""," to ",TEXT($C19,"#.000"),"""")</f>
        <v>.031" to .075"</v>
      </c>
      <c r="M19" s="1009">
        <f t="shared" si="2"/>
        <v>6</v>
      </c>
      <c r="W19"/>
    </row>
    <row r="20" spans="2:23" x14ac:dyDescent="0.25">
      <c r="B20" s="811">
        <f>$C$16+C19</f>
        <v>7.5999999999999998E-2</v>
      </c>
      <c r="C20" s="465">
        <v>0.18</v>
      </c>
      <c r="D20" s="40"/>
      <c r="E20" s="810">
        <v>4.5</v>
      </c>
      <c r="F20" s="810">
        <v>5</v>
      </c>
      <c r="G20" s="810"/>
      <c r="H20" s="464">
        <f t="shared" si="3"/>
        <v>0.5</v>
      </c>
      <c r="I20" s="463">
        <f t="shared" si="4"/>
        <v>0.1111111111111111</v>
      </c>
      <c r="J20" s="40"/>
      <c r="K20" s="18"/>
      <c r="L20" s="829" t="str">
        <f t="shared" si="5"/>
        <v>.076" to .180"</v>
      </c>
      <c r="M20" s="830">
        <f t="shared" si="2"/>
        <v>5</v>
      </c>
      <c r="W20"/>
    </row>
    <row r="21" spans="2:23" x14ac:dyDescent="0.25">
      <c r="B21" s="811">
        <f>$C$16+C20</f>
        <v>0.18099999999999999</v>
      </c>
      <c r="C21" s="465">
        <v>0.28100000000000003</v>
      </c>
      <c r="D21" s="40"/>
      <c r="E21" s="810">
        <v>4.5</v>
      </c>
      <c r="F21" s="810">
        <v>5.5</v>
      </c>
      <c r="G21" s="810"/>
      <c r="H21" s="464">
        <f t="shared" si="3"/>
        <v>1</v>
      </c>
      <c r="I21" s="463">
        <f t="shared" si="4"/>
        <v>0.22222222222222221</v>
      </c>
      <c r="J21" s="40"/>
      <c r="K21" s="18"/>
      <c r="L21" s="1006" t="str">
        <f t="shared" si="5"/>
        <v>.181" to .281"</v>
      </c>
      <c r="M21" s="1009">
        <f t="shared" si="2"/>
        <v>5.5</v>
      </c>
      <c r="W21"/>
    </row>
    <row r="22" spans="2:23" x14ac:dyDescent="0.25">
      <c r="B22" s="811">
        <f>$C$16+C21</f>
        <v>0.28200000000000003</v>
      </c>
      <c r="C22" s="465">
        <v>0.40600000000000003</v>
      </c>
      <c r="D22" s="40"/>
      <c r="E22" s="810">
        <v>5.25</v>
      </c>
      <c r="F22" s="810">
        <v>6.5</v>
      </c>
      <c r="G22" s="810"/>
      <c r="H22" s="464">
        <f t="shared" si="3"/>
        <v>1.25</v>
      </c>
      <c r="I22" s="463">
        <f t="shared" si="4"/>
        <v>0.23809523809523808</v>
      </c>
      <c r="J22" s="40"/>
      <c r="K22" s="18"/>
      <c r="L22" s="829" t="str">
        <f t="shared" si="5"/>
        <v>.282" to .406"</v>
      </c>
      <c r="M22" s="830">
        <f t="shared" si="2"/>
        <v>6.5</v>
      </c>
      <c r="W22"/>
    </row>
    <row r="23" spans="2:23" x14ac:dyDescent="0.25">
      <c r="B23" s="811">
        <f>$C$16+C22</f>
        <v>0.40700000000000003</v>
      </c>
      <c r="C23" s="465">
        <v>0.51</v>
      </c>
      <c r="D23" s="40"/>
      <c r="E23" s="810">
        <v>7.5</v>
      </c>
      <c r="F23" s="810">
        <v>8</v>
      </c>
      <c r="G23" s="810"/>
      <c r="H23" s="464">
        <f t="shared" si="3"/>
        <v>0.5</v>
      </c>
      <c r="I23" s="463">
        <f t="shared" si="4"/>
        <v>6.6666666666666666E-2</v>
      </c>
      <c r="J23" s="40"/>
      <c r="K23" s="18"/>
      <c r="L23" s="1006" t="str">
        <f t="shared" si="5"/>
        <v>.407" to .510"</v>
      </c>
      <c r="M23" s="1009">
        <f t="shared" si="2"/>
        <v>8</v>
      </c>
      <c r="W23"/>
    </row>
    <row r="24" spans="2:23" x14ac:dyDescent="0.25">
      <c r="B24" s="811">
        <f t="shared" ref="B24:B25" si="6">$C$16+C23</f>
        <v>0.51100000000000001</v>
      </c>
      <c r="C24" s="465">
        <v>0.63500000000000001</v>
      </c>
      <c r="D24" s="40"/>
      <c r="E24" s="810"/>
      <c r="F24" s="810">
        <v>9</v>
      </c>
      <c r="G24" s="810"/>
      <c r="H24" s="464"/>
      <c r="I24" s="463"/>
      <c r="J24" s="40"/>
      <c r="K24" s="18"/>
      <c r="L24" s="157" t="str">
        <f t="shared" si="5"/>
        <v>.511" to .635"</v>
      </c>
      <c r="M24" s="830">
        <f>$F24</f>
        <v>9</v>
      </c>
      <c r="W24"/>
    </row>
    <row r="25" spans="2:23" ht="15.75" thickBot="1" x14ac:dyDescent="0.3">
      <c r="B25" s="811">
        <f t="shared" si="6"/>
        <v>0.63600000000000001</v>
      </c>
      <c r="C25" s="465">
        <v>0.75</v>
      </c>
      <c r="D25" s="40"/>
      <c r="E25" s="810"/>
      <c r="F25" s="810">
        <v>10</v>
      </c>
      <c r="G25" s="810"/>
      <c r="H25" s="464"/>
      <c r="I25" s="463"/>
      <c r="J25" s="40"/>
      <c r="K25" s="18"/>
      <c r="L25" s="1007" t="str">
        <f t="shared" si="5"/>
        <v>.636" to .750"</v>
      </c>
      <c r="M25" s="1010">
        <f>$F25</f>
        <v>10</v>
      </c>
      <c r="W25"/>
    </row>
    <row r="26" spans="2:23" x14ac:dyDescent="0.25">
      <c r="B26" s="811"/>
      <c r="C26" s="465"/>
      <c r="D26" s="40"/>
      <c r="E26" s="810"/>
      <c r="F26" s="810"/>
      <c r="G26" s="810"/>
      <c r="H26" s="464"/>
      <c r="I26" s="463"/>
      <c r="J26" s="40"/>
      <c r="K26" s="18"/>
      <c r="M26"/>
      <c r="W26"/>
    </row>
    <row r="27" spans="2:23" ht="15.75" thickBot="1" x14ac:dyDescent="0.3">
      <c r="D27" s="40"/>
      <c r="E27" s="40"/>
      <c r="F27" s="40"/>
      <c r="G27" s="40"/>
      <c r="H27" s="40"/>
      <c r="I27" s="40"/>
      <c r="J27" s="40"/>
      <c r="K27" s="18"/>
      <c r="M27" s="16"/>
      <c r="W27"/>
    </row>
    <row r="28" spans="2:23" x14ac:dyDescent="0.25">
      <c r="D28" s="40"/>
      <c r="E28" s="40"/>
      <c r="F28" s="40"/>
      <c r="G28" s="40"/>
      <c r="H28" s="40"/>
      <c r="I28" s="40"/>
      <c r="J28" s="40"/>
      <c r="K28" s="18"/>
      <c r="L28" s="767" t="s">
        <v>916</v>
      </c>
      <c r="M28" s="767"/>
      <c r="N28" s="767"/>
      <c r="O28" s="767"/>
      <c r="P28" s="767"/>
      <c r="Q28" s="767"/>
      <c r="W28"/>
    </row>
    <row r="29" spans="2:23" ht="30" x14ac:dyDescent="0.25">
      <c r="D29" s="40"/>
      <c r="E29" s="810"/>
      <c r="F29" s="810"/>
      <c r="G29" s="40"/>
      <c r="H29" s="40"/>
      <c r="I29" s="40"/>
      <c r="J29" s="40"/>
      <c r="K29" s="18"/>
      <c r="L29" s="792" t="s">
        <v>9</v>
      </c>
      <c r="M29" s="216" t="s">
        <v>10</v>
      </c>
      <c r="N29" s="812" t="s">
        <v>3</v>
      </c>
      <c r="O29" s="813" t="s">
        <v>11</v>
      </c>
      <c r="P29" s="814" t="s">
        <v>12</v>
      </c>
      <c r="Q29" s="793" t="s">
        <v>573</v>
      </c>
      <c r="S29" s="894" t="s">
        <v>921</v>
      </c>
      <c r="U29" s="896" t="s">
        <v>897</v>
      </c>
      <c r="V29" s="896" t="s">
        <v>922</v>
      </c>
      <c r="W29"/>
    </row>
    <row r="30" spans="2:23" s="254" customFormat="1" x14ac:dyDescent="0.25">
      <c r="B30" s="815">
        <v>1.0999999999999999E-2</v>
      </c>
      <c r="C30" s="815">
        <v>0.06</v>
      </c>
      <c r="D30" s="846"/>
      <c r="E30" s="816">
        <v>105</v>
      </c>
      <c r="F30" s="816">
        <v>120</v>
      </c>
      <c r="G30" s="846"/>
      <c r="H30" s="817">
        <f t="shared" ref="H30:H41" si="7">IF(F30=0,0,F30-E30)</f>
        <v>15</v>
      </c>
      <c r="I30" s="818">
        <f t="shared" ref="I30:I41" si="8">H30/E30</f>
        <v>0.14285714285714285</v>
      </c>
      <c r="J30" s="846"/>
      <c r="K30" s="847"/>
      <c r="L30" s="834" t="s">
        <v>741</v>
      </c>
      <c r="M30" s="835" t="s">
        <v>14</v>
      </c>
      <c r="N30" s="836" t="str">
        <f t="shared" ref="N30:N41" si="9">_xlfn.CONCAT(TEXT($B30,"#.000"),""""," to ",TEXT($C30,"#.000"),"""")</f>
        <v>.011" to .060"</v>
      </c>
      <c r="O30" s="835">
        <v>50</v>
      </c>
      <c r="P30" s="836">
        <v>1</v>
      </c>
      <c r="Q30" s="819">
        <f>$F30</f>
        <v>120</v>
      </c>
      <c r="S30" s="816">
        <v>110</v>
      </c>
    </row>
    <row r="31" spans="2:23" s="254" customFormat="1" x14ac:dyDescent="0.25">
      <c r="B31" s="815">
        <v>1.0999999999999999E-2</v>
      </c>
      <c r="C31" s="815">
        <v>0.06</v>
      </c>
      <c r="D31" s="846"/>
      <c r="E31" s="816">
        <v>105</v>
      </c>
      <c r="F31" s="816">
        <v>120</v>
      </c>
      <c r="G31" s="846"/>
      <c r="H31" s="817">
        <f t="shared" si="7"/>
        <v>15</v>
      </c>
      <c r="I31" s="818">
        <f t="shared" si="8"/>
        <v>0.14285714285714285</v>
      </c>
      <c r="J31" s="846"/>
      <c r="K31" s="847"/>
      <c r="L31" s="834" t="s">
        <v>740</v>
      </c>
      <c r="M31" s="835" t="s">
        <v>17</v>
      </c>
      <c r="N31" s="837" t="str">
        <f t="shared" si="9"/>
        <v>.011" to .060"</v>
      </c>
      <c r="O31" s="835">
        <v>50</v>
      </c>
      <c r="P31" s="837">
        <v>1</v>
      </c>
      <c r="Q31" s="819">
        <f t="shared" ref="Q31:Q41" si="10">$F31</f>
        <v>120</v>
      </c>
      <c r="S31" s="816">
        <v>110</v>
      </c>
    </row>
    <row r="32" spans="2:23" s="254" customFormat="1" x14ac:dyDescent="0.25">
      <c r="B32" s="815">
        <v>1.0999999999999999E-2</v>
      </c>
      <c r="C32" s="815">
        <v>0.25</v>
      </c>
      <c r="D32" s="846"/>
      <c r="E32" s="816">
        <v>330</v>
      </c>
      <c r="F32" s="816">
        <v>360</v>
      </c>
      <c r="G32" s="846"/>
      <c r="H32" s="817">
        <f t="shared" si="7"/>
        <v>30</v>
      </c>
      <c r="I32" s="818">
        <f t="shared" si="8"/>
        <v>9.0909090909090912E-2</v>
      </c>
      <c r="J32" s="846"/>
      <c r="K32" s="847"/>
      <c r="L32" s="899" t="s">
        <v>739</v>
      </c>
      <c r="M32" s="900" t="s">
        <v>14</v>
      </c>
      <c r="N32" s="900" t="str">
        <f t="shared" si="9"/>
        <v>.011" to .250"</v>
      </c>
      <c r="O32" s="900">
        <v>240</v>
      </c>
      <c r="P32" s="900">
        <v>7</v>
      </c>
      <c r="Q32" s="901">
        <f t="shared" si="10"/>
        <v>360</v>
      </c>
      <c r="S32" s="816">
        <v>315</v>
      </c>
    </row>
    <row r="33" spans="2:33" s="254" customFormat="1" x14ac:dyDescent="0.25">
      <c r="B33" s="815">
        <v>1.0999999999999999E-2</v>
      </c>
      <c r="C33" s="815">
        <v>0.25</v>
      </c>
      <c r="D33" s="846"/>
      <c r="E33" s="816">
        <v>330</v>
      </c>
      <c r="F33" s="816">
        <v>360</v>
      </c>
      <c r="G33" s="846"/>
      <c r="H33" s="817">
        <f t="shared" si="7"/>
        <v>30</v>
      </c>
      <c r="I33" s="818">
        <f t="shared" si="8"/>
        <v>9.0909090909090912E-2</v>
      </c>
      <c r="J33" s="846"/>
      <c r="K33" s="847"/>
      <c r="L33" s="838" t="s">
        <v>738</v>
      </c>
      <c r="M33" s="839" t="s">
        <v>17</v>
      </c>
      <c r="N33" s="840" t="str">
        <f t="shared" si="9"/>
        <v>.011" to .250"</v>
      </c>
      <c r="O33" s="839">
        <v>240</v>
      </c>
      <c r="P33" s="841">
        <v>7</v>
      </c>
      <c r="Q33" s="832">
        <f t="shared" si="10"/>
        <v>360</v>
      </c>
      <c r="S33" s="816">
        <v>315</v>
      </c>
    </row>
    <row r="34" spans="2:33" s="254" customFormat="1" x14ac:dyDescent="0.25">
      <c r="B34" s="815">
        <v>6.0999999999999999E-2</v>
      </c>
      <c r="C34" s="815">
        <v>0.25</v>
      </c>
      <c r="D34" s="846"/>
      <c r="E34" s="816">
        <v>235</v>
      </c>
      <c r="F34" s="816">
        <v>260</v>
      </c>
      <c r="G34" s="846"/>
      <c r="H34" s="817">
        <f t="shared" si="7"/>
        <v>25</v>
      </c>
      <c r="I34" s="818">
        <f t="shared" si="8"/>
        <v>0.10638297872340426</v>
      </c>
      <c r="J34" s="846"/>
      <c r="K34" s="847"/>
      <c r="L34" s="834" t="s">
        <v>737</v>
      </c>
      <c r="M34" s="835" t="s">
        <v>14</v>
      </c>
      <c r="N34" s="837" t="str">
        <f t="shared" si="9"/>
        <v>.061" to .250"</v>
      </c>
      <c r="O34" s="835">
        <v>190</v>
      </c>
      <c r="P34" s="837">
        <v>7</v>
      </c>
      <c r="Q34" s="819">
        <f t="shared" si="10"/>
        <v>260</v>
      </c>
      <c r="S34" s="816">
        <v>225</v>
      </c>
    </row>
    <row r="35" spans="2:33" s="254" customFormat="1" x14ac:dyDescent="0.25">
      <c r="B35" s="815">
        <v>6.0999999999999999E-2</v>
      </c>
      <c r="C35" s="815">
        <v>0.25</v>
      </c>
      <c r="D35" s="846"/>
      <c r="E35" s="816">
        <v>235</v>
      </c>
      <c r="F35" s="816">
        <v>260</v>
      </c>
      <c r="G35" s="846"/>
      <c r="H35" s="817">
        <f t="shared" si="7"/>
        <v>25</v>
      </c>
      <c r="I35" s="818">
        <f t="shared" si="8"/>
        <v>0.10638297872340426</v>
      </c>
      <c r="J35" s="846"/>
      <c r="K35" s="847"/>
      <c r="L35" s="834" t="s">
        <v>736</v>
      </c>
      <c r="M35" s="835" t="s">
        <v>17</v>
      </c>
      <c r="N35" s="837" t="str">
        <f t="shared" si="9"/>
        <v>.061" to .250"</v>
      </c>
      <c r="O35" s="835">
        <v>190</v>
      </c>
      <c r="P35" s="837">
        <v>7</v>
      </c>
      <c r="Q35" s="819">
        <f t="shared" si="10"/>
        <v>260</v>
      </c>
      <c r="S35" s="816">
        <v>225</v>
      </c>
    </row>
    <row r="36" spans="2:33" s="254" customFormat="1" x14ac:dyDescent="0.25">
      <c r="B36" s="815">
        <v>0.251</v>
      </c>
      <c r="C36" s="815">
        <v>0.5</v>
      </c>
      <c r="D36" s="846"/>
      <c r="E36" s="816">
        <v>345</v>
      </c>
      <c r="F36" s="816">
        <v>380</v>
      </c>
      <c r="G36" s="846"/>
      <c r="H36" s="817">
        <f t="shared" si="7"/>
        <v>35</v>
      </c>
      <c r="I36" s="818">
        <f t="shared" si="8"/>
        <v>0.10144927536231885</v>
      </c>
      <c r="J36" s="846"/>
      <c r="K36" s="847"/>
      <c r="L36" s="899" t="s">
        <v>735</v>
      </c>
      <c r="M36" s="900" t="s">
        <v>14</v>
      </c>
      <c r="N36" s="900" t="str">
        <f t="shared" si="9"/>
        <v>.251" to .500"</v>
      </c>
      <c r="O36" s="900">
        <v>250</v>
      </c>
      <c r="P36" s="900">
        <v>23</v>
      </c>
      <c r="Q36" s="901">
        <f t="shared" si="10"/>
        <v>380</v>
      </c>
      <c r="S36" s="816">
        <v>335</v>
      </c>
    </row>
    <row r="37" spans="2:33" s="254" customFormat="1" x14ac:dyDescent="0.25">
      <c r="B37" s="815">
        <v>0.251</v>
      </c>
      <c r="C37" s="815">
        <v>0.5</v>
      </c>
      <c r="D37" s="846"/>
      <c r="E37" s="816">
        <v>345</v>
      </c>
      <c r="F37" s="816">
        <v>380</v>
      </c>
      <c r="G37" s="846"/>
      <c r="H37" s="817">
        <f t="shared" si="7"/>
        <v>35</v>
      </c>
      <c r="I37" s="818">
        <f t="shared" si="8"/>
        <v>0.10144927536231885</v>
      </c>
      <c r="J37" s="846"/>
      <c r="K37" s="847"/>
      <c r="L37" s="838" t="s">
        <v>734</v>
      </c>
      <c r="M37" s="839" t="s">
        <v>17</v>
      </c>
      <c r="N37" s="840" t="str">
        <f t="shared" si="9"/>
        <v>.251" to .500"</v>
      </c>
      <c r="O37" s="839">
        <v>250</v>
      </c>
      <c r="P37" s="841">
        <v>23</v>
      </c>
      <c r="Q37" s="832">
        <f t="shared" si="10"/>
        <v>380</v>
      </c>
      <c r="S37" s="816">
        <v>335</v>
      </c>
    </row>
    <row r="38" spans="2:33" s="254" customFormat="1" x14ac:dyDescent="0.25">
      <c r="B38" s="815">
        <v>0.501</v>
      </c>
      <c r="C38" s="815">
        <v>0.625</v>
      </c>
      <c r="D38" s="846"/>
      <c r="E38" s="816">
        <v>405</v>
      </c>
      <c r="F38" s="816">
        <v>450</v>
      </c>
      <c r="G38" s="846"/>
      <c r="H38" s="817">
        <f t="shared" si="7"/>
        <v>45</v>
      </c>
      <c r="I38" s="818">
        <f t="shared" si="8"/>
        <v>0.1111111111111111</v>
      </c>
      <c r="J38" s="846"/>
      <c r="K38" s="847"/>
      <c r="L38" s="834" t="s">
        <v>733</v>
      </c>
      <c r="M38" s="835" t="s">
        <v>14</v>
      </c>
      <c r="N38" s="837" t="str">
        <f t="shared" si="9"/>
        <v>.501" to .625"</v>
      </c>
      <c r="O38" s="835">
        <v>125</v>
      </c>
      <c r="P38" s="837">
        <v>24</v>
      </c>
      <c r="Q38" s="819">
        <f t="shared" si="10"/>
        <v>450</v>
      </c>
      <c r="S38" s="816">
        <v>410</v>
      </c>
    </row>
    <row r="39" spans="2:33" s="254" customFormat="1" x14ac:dyDescent="0.25">
      <c r="B39" s="815">
        <v>0.501</v>
      </c>
      <c r="C39" s="815">
        <v>0.625</v>
      </c>
      <c r="D39" s="846"/>
      <c r="E39" s="816">
        <v>405</v>
      </c>
      <c r="F39" s="816">
        <v>450</v>
      </c>
      <c r="G39" s="846"/>
      <c r="H39" s="817">
        <f t="shared" si="7"/>
        <v>45</v>
      </c>
      <c r="I39" s="818">
        <f t="shared" si="8"/>
        <v>0.1111111111111111</v>
      </c>
      <c r="J39" s="846"/>
      <c r="K39" s="847"/>
      <c r="L39" s="834" t="s">
        <v>732</v>
      </c>
      <c r="M39" s="835" t="s">
        <v>17</v>
      </c>
      <c r="N39" s="837" t="str">
        <f t="shared" si="9"/>
        <v>.501" to .625"</v>
      </c>
      <c r="O39" s="835">
        <v>125</v>
      </c>
      <c r="P39" s="837">
        <v>24</v>
      </c>
      <c r="Q39" s="819">
        <f t="shared" si="10"/>
        <v>450</v>
      </c>
      <c r="S39" s="816">
        <v>410</v>
      </c>
    </row>
    <row r="40" spans="2:33" s="254" customFormat="1" x14ac:dyDescent="0.25">
      <c r="B40" s="815">
        <v>0.626</v>
      </c>
      <c r="C40" s="815">
        <v>0.75</v>
      </c>
      <c r="D40" s="846"/>
      <c r="E40" s="816">
        <v>450</v>
      </c>
      <c r="F40" s="816">
        <v>500</v>
      </c>
      <c r="G40" s="846"/>
      <c r="H40" s="817">
        <f t="shared" si="7"/>
        <v>50</v>
      </c>
      <c r="I40" s="818">
        <f t="shared" si="8"/>
        <v>0.1111111111111111</v>
      </c>
      <c r="J40" s="846"/>
      <c r="K40" s="847"/>
      <c r="L40" s="899" t="s">
        <v>731</v>
      </c>
      <c r="M40" s="900" t="s">
        <v>14</v>
      </c>
      <c r="N40" s="900" t="str">
        <f t="shared" si="9"/>
        <v>.626" to .750"</v>
      </c>
      <c r="O40" s="900">
        <v>125</v>
      </c>
      <c r="P40" s="900">
        <v>33</v>
      </c>
      <c r="Q40" s="901">
        <f t="shared" si="10"/>
        <v>500</v>
      </c>
      <c r="S40" s="816">
        <v>430</v>
      </c>
    </row>
    <row r="41" spans="2:33" s="254" customFormat="1" ht="15.75" thickBot="1" x14ac:dyDescent="0.3">
      <c r="B41" s="815">
        <v>0.626</v>
      </c>
      <c r="C41" s="815">
        <v>0.75</v>
      </c>
      <c r="D41" s="846"/>
      <c r="E41" s="816">
        <v>450</v>
      </c>
      <c r="F41" s="816">
        <v>500</v>
      </c>
      <c r="G41" s="846"/>
      <c r="H41" s="817">
        <f t="shared" si="7"/>
        <v>50</v>
      </c>
      <c r="I41" s="818">
        <f t="shared" si="8"/>
        <v>0.1111111111111111</v>
      </c>
      <c r="J41" s="846"/>
      <c r="K41" s="847"/>
      <c r="L41" s="842" t="s">
        <v>730</v>
      </c>
      <c r="M41" s="843" t="s">
        <v>17</v>
      </c>
      <c r="N41" s="844" t="str">
        <f t="shared" si="9"/>
        <v>.626" to .750"</v>
      </c>
      <c r="O41" s="843">
        <v>125</v>
      </c>
      <c r="P41" s="845">
        <v>33</v>
      </c>
      <c r="Q41" s="833">
        <f t="shared" si="10"/>
        <v>500</v>
      </c>
      <c r="S41" s="816">
        <v>430</v>
      </c>
    </row>
    <row r="42" spans="2:33" x14ac:dyDescent="0.25">
      <c r="D42" s="40"/>
      <c r="E42" s="810"/>
      <c r="F42" s="810"/>
      <c r="G42" s="40"/>
      <c r="H42" s="40"/>
      <c r="I42" s="40"/>
      <c r="J42" s="40"/>
      <c r="K42" s="18"/>
      <c r="M42" s="16"/>
      <c r="W42"/>
    </row>
    <row r="43" spans="2:33" ht="15.75" thickBot="1" x14ac:dyDescent="0.3">
      <c r="B43" s="465"/>
      <c r="C43" s="465"/>
      <c r="D43" s="2"/>
      <c r="F43" s="2"/>
      <c r="G43" s="2"/>
      <c r="H43" s="2"/>
      <c r="I43" s="2"/>
      <c r="J43" s="2"/>
      <c r="O43" s="11"/>
      <c r="Q43"/>
    </row>
    <row r="44" spans="2:33" x14ac:dyDescent="0.25">
      <c r="B44" s="465"/>
      <c r="C44" s="465"/>
      <c r="D44" s="2"/>
      <c r="F44" s="2"/>
      <c r="G44" s="2"/>
      <c r="H44" s="2"/>
      <c r="I44" s="2"/>
      <c r="J44" s="2"/>
      <c r="L44" s="767" t="s">
        <v>917</v>
      </c>
      <c r="M44" s="767"/>
      <c r="N44" s="767"/>
      <c r="O44" s="767"/>
      <c r="P44" s="767"/>
      <c r="Q44" s="767"/>
    </row>
    <row r="45" spans="2:33" s="254" customFormat="1" ht="30" x14ac:dyDescent="0.25">
      <c r="B45" s="465"/>
      <c r="C45" s="465"/>
      <c r="D45" s="614"/>
      <c r="E45" s="810"/>
      <c r="F45" s="614"/>
      <c r="G45" s="614"/>
      <c r="H45" s="614"/>
      <c r="I45" s="614"/>
      <c r="J45" s="614"/>
      <c r="L45" s="214" t="s">
        <v>9</v>
      </c>
      <c r="M45" s="216" t="s">
        <v>10</v>
      </c>
      <c r="N45" s="218" t="s">
        <v>3</v>
      </c>
      <c r="O45" s="805" t="s">
        <v>11</v>
      </c>
      <c r="P45" s="806" t="s">
        <v>12</v>
      </c>
      <c r="Q45" s="807" t="s">
        <v>573</v>
      </c>
      <c r="S45" s="895"/>
      <c r="U45"/>
      <c r="V45"/>
      <c r="W45" s="808"/>
      <c r="X45"/>
      <c r="Y45"/>
      <c r="AE45"/>
      <c r="AG45"/>
    </row>
    <row r="46" spans="2:33" x14ac:dyDescent="0.25">
      <c r="B46" s="465">
        <v>1.0999999999999999E-2</v>
      </c>
      <c r="C46" s="465">
        <v>0.625</v>
      </c>
      <c r="D46" s="5"/>
      <c r="E46" s="460">
        <v>1395</v>
      </c>
      <c r="F46" s="460">
        <v>1500</v>
      </c>
      <c r="G46" s="5"/>
      <c r="H46" s="817">
        <f t="shared" ref="H46:H51" si="11">IF(F46=0,0,F46-E46)</f>
        <v>105</v>
      </c>
      <c r="I46" s="818">
        <f t="shared" ref="I46:I51" si="12">H46/E46</f>
        <v>7.5268817204301078E-2</v>
      </c>
      <c r="J46" s="5"/>
      <c r="L46" s="902" t="s">
        <v>727</v>
      </c>
      <c r="M46" s="903" t="s">
        <v>14</v>
      </c>
      <c r="N46" s="903" t="str">
        <f>_xlfn.CONCAT(TEXT($B46,"#.000"),""""," to ",TEXT($C46,"#.000"),"""")</f>
        <v>.011" to .625"</v>
      </c>
      <c r="O46" s="903">
        <v>615</v>
      </c>
      <c r="P46" s="903">
        <v>87</v>
      </c>
      <c r="Q46" s="901">
        <f>$F46</f>
        <v>1500</v>
      </c>
      <c r="S46" s="460">
        <v>1375</v>
      </c>
    </row>
    <row r="47" spans="2:33" x14ac:dyDescent="0.25">
      <c r="B47" s="465">
        <f>B46</f>
        <v>1.0999999999999999E-2</v>
      </c>
      <c r="C47" s="465">
        <f>C46</f>
        <v>0.625</v>
      </c>
      <c r="D47" s="5"/>
      <c r="E47" s="460">
        <v>1395</v>
      </c>
      <c r="F47" s="460">
        <v>1500</v>
      </c>
      <c r="G47" s="5"/>
      <c r="H47" s="817">
        <f t="shared" si="11"/>
        <v>105</v>
      </c>
      <c r="I47" s="818">
        <f t="shared" si="12"/>
        <v>7.5268817204301078E-2</v>
      </c>
      <c r="J47" s="5"/>
      <c r="L47" s="821" t="s">
        <v>728</v>
      </c>
      <c r="M47" s="822" t="s">
        <v>17</v>
      </c>
      <c r="N47" s="823" t="str">
        <f t="shared" ref="N47:N51" si="13">_xlfn.CONCAT(TEXT($B47,"#.000"),""""," to ",TEXT($C47,"#.000"),"""")</f>
        <v>.011" to .625"</v>
      </c>
      <c r="O47" s="822">
        <v>615</v>
      </c>
      <c r="P47" s="824">
        <v>87</v>
      </c>
      <c r="Q47" s="832">
        <f t="shared" ref="Q47:Q51" si="14">$F47</f>
        <v>1500</v>
      </c>
      <c r="S47" s="460">
        <v>1375</v>
      </c>
    </row>
    <row r="48" spans="2:33" x14ac:dyDescent="0.25">
      <c r="B48" s="465">
        <v>1.0999999999999999E-2</v>
      </c>
      <c r="C48" s="465">
        <v>0.75</v>
      </c>
      <c r="D48" s="5"/>
      <c r="E48" s="460">
        <v>1825</v>
      </c>
      <c r="F48" s="460">
        <v>2000</v>
      </c>
      <c r="G48" s="5"/>
      <c r="H48" s="817">
        <f t="shared" si="11"/>
        <v>175</v>
      </c>
      <c r="I48" s="818">
        <f t="shared" si="12"/>
        <v>9.5890410958904104E-2</v>
      </c>
      <c r="J48" s="5"/>
      <c r="L48" s="831" t="s">
        <v>725</v>
      </c>
      <c r="M48" s="309" t="s">
        <v>14</v>
      </c>
      <c r="N48" s="329" t="str">
        <f t="shared" si="13"/>
        <v>.011" to .750"</v>
      </c>
      <c r="O48" s="309">
        <v>740</v>
      </c>
      <c r="P48" s="329">
        <v>120</v>
      </c>
      <c r="Q48" s="819">
        <f t="shared" si="14"/>
        <v>2000</v>
      </c>
      <c r="S48" s="460">
        <v>1815</v>
      </c>
    </row>
    <row r="49" spans="2:19" x14ac:dyDescent="0.25">
      <c r="B49" s="465">
        <v>1.0999999999999999E-2</v>
      </c>
      <c r="C49" s="465">
        <f>C48</f>
        <v>0.75</v>
      </c>
      <c r="D49" s="5"/>
      <c r="E49" s="460">
        <v>1825</v>
      </c>
      <c r="F49" s="460">
        <v>2000</v>
      </c>
      <c r="G49" s="5"/>
      <c r="H49" s="817">
        <f t="shared" si="11"/>
        <v>175</v>
      </c>
      <c r="I49" s="818">
        <f t="shared" si="12"/>
        <v>9.5890410958904104E-2</v>
      </c>
      <c r="J49" s="5"/>
      <c r="L49" s="831" t="s">
        <v>726</v>
      </c>
      <c r="M49" s="309" t="s">
        <v>17</v>
      </c>
      <c r="N49" s="329" t="str">
        <f t="shared" si="13"/>
        <v>.011" to .750"</v>
      </c>
      <c r="O49" s="309">
        <v>740</v>
      </c>
      <c r="P49" s="329">
        <v>120</v>
      </c>
      <c r="Q49" s="819">
        <f t="shared" si="14"/>
        <v>2000</v>
      </c>
      <c r="S49" s="460">
        <v>1815</v>
      </c>
    </row>
    <row r="50" spans="2:19" x14ac:dyDescent="0.25">
      <c r="B50" s="465">
        <v>6.0999999999999999E-2</v>
      </c>
      <c r="C50" s="465">
        <v>0.75</v>
      </c>
      <c r="D50" s="5"/>
      <c r="E50" s="460">
        <v>1730</v>
      </c>
      <c r="F50" s="460">
        <v>1900</v>
      </c>
      <c r="G50" s="5"/>
      <c r="H50" s="817">
        <f t="shared" si="11"/>
        <v>170</v>
      </c>
      <c r="I50" s="818">
        <f t="shared" si="12"/>
        <v>9.8265895953757232E-2</v>
      </c>
      <c r="J50" s="5"/>
      <c r="L50" s="902" t="s">
        <v>723</v>
      </c>
      <c r="M50" s="903" t="s">
        <v>14</v>
      </c>
      <c r="N50" s="903" t="str">
        <f t="shared" si="13"/>
        <v>.061" to .750"</v>
      </c>
      <c r="O50" s="903">
        <v>690</v>
      </c>
      <c r="P50" s="903">
        <v>120</v>
      </c>
      <c r="Q50" s="901">
        <f t="shared" si="14"/>
        <v>1900</v>
      </c>
      <c r="S50" s="460">
        <v>1690</v>
      </c>
    </row>
    <row r="51" spans="2:19" ht="15.75" thickBot="1" x14ac:dyDescent="0.3">
      <c r="B51" s="465">
        <f>B50</f>
        <v>6.0999999999999999E-2</v>
      </c>
      <c r="C51" s="465">
        <f>C50</f>
        <v>0.75</v>
      </c>
      <c r="D51" s="5"/>
      <c r="E51" s="460">
        <v>1730</v>
      </c>
      <c r="F51" s="460">
        <v>1900</v>
      </c>
      <c r="G51" s="5"/>
      <c r="H51" s="817">
        <f t="shared" si="11"/>
        <v>170</v>
      </c>
      <c r="I51" s="818">
        <f t="shared" si="12"/>
        <v>9.8265895953757232E-2</v>
      </c>
      <c r="J51" s="5"/>
      <c r="L51" s="825" t="s">
        <v>724</v>
      </c>
      <c r="M51" s="826" t="s">
        <v>17</v>
      </c>
      <c r="N51" s="827" t="str">
        <f t="shared" si="13"/>
        <v>.061" to .750"</v>
      </c>
      <c r="O51" s="826">
        <v>690</v>
      </c>
      <c r="P51" s="828">
        <v>120</v>
      </c>
      <c r="Q51" s="833">
        <f t="shared" si="14"/>
        <v>1900</v>
      </c>
      <c r="S51" s="460">
        <v>1690</v>
      </c>
    </row>
    <row r="52" spans="2:19" x14ac:dyDescent="0.25">
      <c r="B52" s="465"/>
      <c r="C52" s="465"/>
      <c r="D52" s="5"/>
      <c r="E52" s="810"/>
      <c r="F52" s="5"/>
      <c r="G52" s="5"/>
      <c r="H52" s="5"/>
      <c r="I52" s="5"/>
      <c r="J52" s="5"/>
      <c r="O52" s="809"/>
      <c r="Q52" s="808"/>
    </row>
    <row r="53" spans="2:19" x14ac:dyDescent="0.25">
      <c r="B53" s="465"/>
      <c r="C53" s="465"/>
      <c r="D53" s="2"/>
      <c r="E53" s="810"/>
      <c r="F53" s="2"/>
      <c r="G53" s="2"/>
      <c r="H53" s="2"/>
      <c r="I53" s="2"/>
      <c r="J53" s="2"/>
    </row>
    <row r="54" spans="2:19" x14ac:dyDescent="0.25">
      <c r="E54" s="810"/>
    </row>
  </sheetData>
  <conditionalFormatting sqref="L11:L13">
    <cfRule type="expression" dxfId="0" priority="1">
      <formula>#REF!="y"</formula>
    </cfRule>
  </conditionalFormatting>
  <pageMargins left="0.25" right="0.25" top="0.75" bottom="0.75" header="0.3" footer="0.3"/>
  <pageSetup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8FE43-F56B-4D30-B27E-A8E506CD2474}">
  <sheetPr codeName="Sheet1"/>
  <dimension ref="C4:F8"/>
  <sheetViews>
    <sheetView workbookViewId="0">
      <selection activeCell="L22" sqref="L22"/>
    </sheetView>
  </sheetViews>
  <sheetFormatPr defaultRowHeight="15" x14ac:dyDescent="0.25"/>
  <cols>
    <col min="5" max="6" width="8.85546875" style="11"/>
  </cols>
  <sheetData>
    <row r="4" spans="3:6" x14ac:dyDescent="0.25">
      <c r="E4" s="11" t="s">
        <v>575</v>
      </c>
      <c r="F4" s="11" t="s">
        <v>576</v>
      </c>
    </row>
    <row r="5" spans="3:6" x14ac:dyDescent="0.25">
      <c r="C5" t="s">
        <v>672</v>
      </c>
      <c r="E5" s="537">
        <v>2.0000000000000001E-4</v>
      </c>
      <c r="F5" s="537">
        <v>5.0000000000000001E-3</v>
      </c>
    </row>
    <row r="6" spans="3:6" x14ac:dyDescent="0.25">
      <c r="C6" t="s">
        <v>196</v>
      </c>
      <c r="E6" s="537">
        <v>1E-4</v>
      </c>
      <c r="F6" s="537">
        <v>2.5000000000000001E-3</v>
      </c>
    </row>
    <row r="7" spans="3:6" x14ac:dyDescent="0.25">
      <c r="C7" t="s">
        <v>197</v>
      </c>
      <c r="E7" s="537">
        <v>4.0000000000000003E-5</v>
      </c>
      <c r="F7" s="537">
        <v>1E-3</v>
      </c>
    </row>
    <row r="8" spans="3:6" x14ac:dyDescent="0.25">
      <c r="C8" t="s">
        <v>198</v>
      </c>
      <c r="E8" s="537">
        <v>2.0000000000000002E-5</v>
      </c>
      <c r="F8" s="537">
        <v>5.0000000000000001E-4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4038E-B21D-4114-83A9-11C3EE37F36B}">
  <sheetPr codeName="Sheet3">
    <pageSetUpPr autoPageBreaks="0" fitToPage="1"/>
  </sheetPr>
  <dimension ref="C1:O28"/>
  <sheetViews>
    <sheetView showGridLines="0" tabSelected="1" zoomScale="90" zoomScaleNormal="90" workbookViewId="0">
      <selection activeCell="D50" sqref="D50"/>
    </sheetView>
  </sheetViews>
  <sheetFormatPr defaultRowHeight="15" outlineLevelCol="1" x14ac:dyDescent="0.25"/>
  <cols>
    <col min="1" max="2" width="2.7109375" customWidth="1"/>
    <col min="3" max="3" width="9.7109375" customWidth="1"/>
    <col min="4" max="4" width="14.7109375" customWidth="1"/>
    <col min="5" max="5" width="31.7109375" customWidth="1"/>
    <col min="6" max="7" width="17.85546875" customWidth="1"/>
    <col min="8" max="8" width="26.5703125" style="3" hidden="1" customWidth="1" outlineLevel="1"/>
    <col min="9" max="14" width="17.85546875" hidden="1" customWidth="1" outlineLevel="1"/>
    <col min="15" max="15" width="15.28515625" customWidth="1" collapsed="1"/>
    <col min="16" max="21" width="15.28515625" customWidth="1"/>
  </cols>
  <sheetData>
    <row r="1" spans="3:10" ht="6.6" customHeight="1" x14ac:dyDescent="0.25"/>
    <row r="3" spans="3:10" ht="18.75" x14ac:dyDescent="0.3">
      <c r="J3" s="48"/>
    </row>
    <row r="4" spans="3:10" ht="18.75" x14ac:dyDescent="0.3">
      <c r="J4" s="48"/>
    </row>
    <row r="5" spans="3:10" ht="18.75" x14ac:dyDescent="0.3">
      <c r="J5" s="48"/>
    </row>
    <row r="6" spans="3:10" ht="18.75" x14ac:dyDescent="0.3">
      <c r="J6" s="48"/>
    </row>
    <row r="10" spans="3:10" s="80" customFormat="1" ht="34.15" customHeight="1" x14ac:dyDescent="0.25">
      <c r="C10" s="576" t="s">
        <v>535</v>
      </c>
      <c r="H10" s="496"/>
    </row>
    <row r="11" spans="3:10" s="578" customFormat="1" ht="34.9" customHeight="1" x14ac:dyDescent="0.5">
      <c r="C11" s="1000" t="s">
        <v>536</v>
      </c>
      <c r="H11" s="579"/>
    </row>
    <row r="12" spans="3:10" s="997" customFormat="1" ht="22.5" customHeight="1" x14ac:dyDescent="0.25">
      <c r="C12" s="999" t="str">
        <f>_xlfn.CONCAT("Effective ",TEXT($H12,"mmmm d, yyyy"))</f>
        <v>Effective March 17, 2025</v>
      </c>
      <c r="D12" s="584"/>
      <c r="H12" s="998">
        <v>45733</v>
      </c>
    </row>
    <row r="13" spans="3:10" s="49" customFormat="1" ht="22.9" customHeight="1" x14ac:dyDescent="0.35">
      <c r="H13" s="580"/>
    </row>
    <row r="14" spans="3:10" s="584" customFormat="1" ht="43.9" customHeight="1" x14ac:dyDescent="0.25">
      <c r="C14" s="585" t="str">
        <f>_xlfn.CONCAT("Minimum Order: ",TEXT($H14,"$##.00")," (net)")</f>
        <v>Minimum Order: $20.00 (net)</v>
      </c>
      <c r="D14" s="582"/>
      <c r="E14" s="583"/>
      <c r="H14" s="586">
        <v>20</v>
      </c>
    </row>
    <row r="15" spans="3:10" s="577" customFormat="1" ht="18.75" x14ac:dyDescent="0.3">
      <c r="H15" s="580"/>
    </row>
    <row r="16" spans="3:10" s="577" customFormat="1" ht="13.15" customHeight="1" x14ac:dyDescent="0.3">
      <c r="H16" s="580"/>
    </row>
    <row r="17" spans="3:8" s="49" customFormat="1" ht="24" customHeight="1" x14ac:dyDescent="0.35">
      <c r="C17" s="1001" t="s">
        <v>689</v>
      </c>
      <c r="D17" s="1001" t="s">
        <v>537</v>
      </c>
      <c r="E17" s="577"/>
      <c r="H17" s="580"/>
    </row>
    <row r="18" spans="3:8" s="49" customFormat="1" ht="21.6" customHeight="1" x14ac:dyDescent="0.35">
      <c r="C18" s="1001" t="s">
        <v>690</v>
      </c>
      <c r="D18" s="1001" t="s">
        <v>538</v>
      </c>
      <c r="E18" s="577"/>
      <c r="H18" s="580"/>
    </row>
    <row r="19" spans="3:8" s="49" customFormat="1" ht="21" x14ac:dyDescent="0.35">
      <c r="C19" s="1001"/>
      <c r="D19" s="1001"/>
      <c r="E19" s="577"/>
      <c r="H19" s="580"/>
    </row>
    <row r="20" spans="3:8" s="49" customFormat="1" ht="21" x14ac:dyDescent="0.35">
      <c r="C20" s="1001"/>
      <c r="D20" s="1001"/>
      <c r="E20" s="577"/>
      <c r="H20" s="580"/>
    </row>
    <row r="21" spans="3:8" s="49" customFormat="1" ht="21" x14ac:dyDescent="0.35">
      <c r="C21" s="585" t="s">
        <v>539</v>
      </c>
      <c r="D21" s="1001"/>
      <c r="E21" s="577"/>
      <c r="H21" s="580"/>
    </row>
    <row r="22" spans="3:8" s="49" customFormat="1" ht="21" x14ac:dyDescent="0.35">
      <c r="C22" s="1001"/>
      <c r="D22" s="1001"/>
      <c r="E22" s="577"/>
      <c r="H22" s="580"/>
    </row>
    <row r="23" spans="3:8" s="49" customFormat="1" ht="21" x14ac:dyDescent="0.35">
      <c r="H23" s="580"/>
    </row>
    <row r="24" spans="3:8" s="49" customFormat="1" ht="21" x14ac:dyDescent="0.35">
      <c r="H24" s="580"/>
    </row>
    <row r="25" spans="3:8" s="49" customFormat="1" ht="21" x14ac:dyDescent="0.35">
      <c r="H25" s="580"/>
    </row>
    <row r="26" spans="3:8" s="49" customFormat="1" ht="21" x14ac:dyDescent="0.35">
      <c r="H26" s="580"/>
    </row>
    <row r="27" spans="3:8" s="49" customFormat="1" ht="21" x14ac:dyDescent="0.35">
      <c r="H27" s="575"/>
    </row>
    <row r="28" spans="3:8" s="49" customFormat="1" ht="21" x14ac:dyDescent="0.35">
      <c r="H28" s="575"/>
    </row>
  </sheetData>
  <sheetProtection algorithmName="SHA-512" hashValue="nuISprKo44GtdEgi/V3/i8Q+ZYHDgNi0ZciotsMH2HRm4OrU78mKg7Km+G2plMzu/oY7IkfD0FwUK5VdVQ7i+g==" saltValue="irGg8PNUGGh77MdruXHnMQ==" spinCount="100000" sheet="1" objects="1" scenarios="1"/>
  <pageMargins left="0.7" right="0.7" top="0.75" bottom="0.75" header="0.3" footer="0.3"/>
  <pageSetup scale="7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6E775-F51C-4D7A-81C0-089E4D279300}">
  <sheetPr codeName="Sheet4">
    <pageSetUpPr autoPageBreaks="0"/>
  </sheetPr>
  <dimension ref="B1:P49"/>
  <sheetViews>
    <sheetView showGridLines="0" zoomScaleNormal="100" workbookViewId="0">
      <selection activeCell="T17" sqref="T17"/>
    </sheetView>
  </sheetViews>
  <sheetFormatPr defaultRowHeight="15" outlineLevelCol="1" x14ac:dyDescent="0.25"/>
  <cols>
    <col min="1" max="1" width="2.7109375" customWidth="1"/>
    <col min="2" max="2" width="13.85546875" style="3" hidden="1" customWidth="1" outlineLevel="1"/>
    <col min="3" max="4" width="13.85546875" hidden="1" customWidth="1" outlineLevel="1"/>
    <col min="5" max="7" width="18.42578125" hidden="1" customWidth="1" outlineLevel="1"/>
    <col min="8" max="8" width="2.7109375" hidden="1" customWidth="1" outlineLevel="1"/>
    <col min="9" max="9" width="22" customWidth="1" collapsed="1"/>
    <col min="10" max="10" width="18.140625" style="11" customWidth="1"/>
    <col min="11" max="11" width="19.5703125" customWidth="1"/>
    <col min="12" max="12" width="2.7109375" customWidth="1"/>
    <col min="13" max="14" width="17.5703125" customWidth="1"/>
    <col min="15" max="16" width="17.5703125" style="18" customWidth="1"/>
  </cols>
  <sheetData>
    <row r="1" spans="2:16" ht="5.0999999999999996" customHeight="1" x14ac:dyDescent="0.25"/>
    <row r="2" spans="2:16" ht="21" x14ac:dyDescent="0.35">
      <c r="B2" s="1005" t="s">
        <v>1130</v>
      </c>
      <c r="I2" s="1" t="s">
        <v>0</v>
      </c>
      <c r="K2" s="385"/>
    </row>
    <row r="3" spans="2:16" ht="15.75" x14ac:dyDescent="0.25">
      <c r="B3" s="13" t="s">
        <v>628</v>
      </c>
      <c r="I3" s="9" t="s">
        <v>495</v>
      </c>
      <c r="J3" s="7"/>
      <c r="K3" s="9"/>
      <c r="L3" s="9"/>
    </row>
    <row r="4" spans="2:16" ht="16.5" thickBot="1" x14ac:dyDescent="0.3">
      <c r="B4" t="s">
        <v>1135</v>
      </c>
      <c r="I4" s="9"/>
      <c r="J4" s="7"/>
      <c r="K4" s="9"/>
      <c r="L4" s="9"/>
    </row>
    <row r="5" spans="2:16" ht="15.75" x14ac:dyDescent="0.25">
      <c r="B5" t="s">
        <v>571</v>
      </c>
      <c r="I5" s="1019" t="s">
        <v>1137</v>
      </c>
      <c r="J5" s="192"/>
      <c r="K5" s="193"/>
      <c r="N5" s="9"/>
    </row>
    <row r="6" spans="2:16" ht="5.0999999999999996" customHeight="1" x14ac:dyDescent="0.25">
      <c r="I6" s="194"/>
      <c r="J6"/>
      <c r="K6" s="195"/>
      <c r="N6" s="9"/>
      <c r="O6"/>
      <c r="P6"/>
    </row>
    <row r="7" spans="2:16" ht="15.75" x14ac:dyDescent="0.25">
      <c r="I7" s="194"/>
      <c r="J7" s="196" t="s">
        <v>570</v>
      </c>
      <c r="K7" s="197" t="s">
        <v>569</v>
      </c>
      <c r="L7" s="36"/>
      <c r="N7" s="9"/>
    </row>
    <row r="8" spans="2:16" ht="6" customHeight="1" x14ac:dyDescent="0.25">
      <c r="I8" s="198"/>
      <c r="J8" s="196"/>
      <c r="K8" s="199"/>
      <c r="L8" s="36"/>
      <c r="N8" s="9"/>
    </row>
    <row r="9" spans="2:16" ht="15.75" x14ac:dyDescent="0.25">
      <c r="I9" s="1014" t="s">
        <v>568</v>
      </c>
      <c r="J9" s="196"/>
      <c r="K9" s="199"/>
      <c r="L9" s="36"/>
      <c r="N9" s="9"/>
    </row>
    <row r="10" spans="2:16" ht="15.75" x14ac:dyDescent="0.25">
      <c r="B10" s="51" t="s">
        <v>559</v>
      </c>
      <c r="E10" s="51" t="s">
        <v>558</v>
      </c>
      <c r="I10" s="200" t="s">
        <v>557</v>
      </c>
      <c r="J10" s="374">
        <v>30</v>
      </c>
      <c r="K10" s="379">
        <v>50</v>
      </c>
      <c r="L10" s="36"/>
      <c r="N10" s="9"/>
    </row>
    <row r="11" spans="2:16" ht="15.75" x14ac:dyDescent="0.25">
      <c r="B11" s="51" t="s">
        <v>562</v>
      </c>
      <c r="E11" s="51" t="s">
        <v>561</v>
      </c>
      <c r="I11" s="200" t="s">
        <v>213</v>
      </c>
      <c r="J11" s="374">
        <v>30</v>
      </c>
      <c r="K11" s="379">
        <v>50</v>
      </c>
      <c r="L11" s="36"/>
      <c r="N11" s="9"/>
    </row>
    <row r="12" spans="2:16" ht="15.75" x14ac:dyDescent="0.25">
      <c r="B12" s="51" t="s">
        <v>565</v>
      </c>
      <c r="E12" s="51" t="s">
        <v>564</v>
      </c>
      <c r="I12" s="200" t="s">
        <v>541</v>
      </c>
      <c r="J12" s="374">
        <v>15</v>
      </c>
      <c r="K12" s="379">
        <v>30</v>
      </c>
      <c r="L12" s="36"/>
      <c r="N12" s="9"/>
    </row>
    <row r="13" spans="2:16" ht="15.75" x14ac:dyDescent="0.25">
      <c r="B13" s="51" t="s">
        <v>567</v>
      </c>
      <c r="E13" s="51" t="s">
        <v>566</v>
      </c>
      <c r="I13" s="200" t="s">
        <v>212</v>
      </c>
      <c r="J13" s="374">
        <v>15</v>
      </c>
      <c r="K13" s="379">
        <v>30</v>
      </c>
      <c r="L13" s="36"/>
      <c r="N13" s="9"/>
    </row>
    <row r="14" spans="2:16" ht="15.75" x14ac:dyDescent="0.25">
      <c r="B14"/>
      <c r="I14" s="198"/>
      <c r="J14" s="12"/>
      <c r="K14" s="1016"/>
      <c r="N14" s="9"/>
    </row>
    <row r="15" spans="2:16" ht="15.75" x14ac:dyDescent="0.25">
      <c r="B15" s="51"/>
      <c r="E15" s="51"/>
      <c r="I15" s="1014" t="s">
        <v>211</v>
      </c>
      <c r="J15" s="374"/>
      <c r="K15" s="379"/>
      <c r="L15" s="36"/>
      <c r="N15" s="9"/>
    </row>
    <row r="16" spans="2:16" ht="15.75" x14ac:dyDescent="0.25">
      <c r="B16" s="51" t="s">
        <v>554</v>
      </c>
      <c r="E16" s="51" t="s">
        <v>553</v>
      </c>
      <c r="I16" s="200" t="s">
        <v>213</v>
      </c>
      <c r="J16" s="374">
        <v>30</v>
      </c>
      <c r="K16" s="379">
        <v>50</v>
      </c>
      <c r="L16" s="36"/>
      <c r="N16" s="9"/>
    </row>
    <row r="17" spans="2:14" ht="15.75" x14ac:dyDescent="0.25">
      <c r="B17" s="51" t="s">
        <v>556</v>
      </c>
      <c r="E17" s="51" t="s">
        <v>555</v>
      </c>
      <c r="I17" s="200" t="s">
        <v>212</v>
      </c>
      <c r="J17" s="374">
        <v>15</v>
      </c>
      <c r="K17" s="379">
        <v>30</v>
      </c>
      <c r="L17" s="36"/>
      <c r="N17" s="9"/>
    </row>
    <row r="18" spans="2:14" ht="15.75" x14ac:dyDescent="0.25">
      <c r="B18"/>
      <c r="I18" s="198"/>
      <c r="J18" s="374"/>
      <c r="K18" s="379"/>
      <c r="N18" s="9"/>
    </row>
    <row r="19" spans="2:14" ht="15.75" x14ac:dyDescent="0.25">
      <c r="B19" s="54" t="s">
        <v>552</v>
      </c>
      <c r="E19" s="32" t="s">
        <v>551</v>
      </c>
      <c r="I19" s="203" t="s">
        <v>550</v>
      </c>
      <c r="J19" s="374">
        <v>40</v>
      </c>
      <c r="K19" s="379">
        <v>60</v>
      </c>
      <c r="N19" s="9"/>
    </row>
    <row r="20" spans="2:14" ht="15.75" x14ac:dyDescent="0.25">
      <c r="B20" s="32"/>
      <c r="E20" s="32"/>
      <c r="I20" s="286"/>
      <c r="J20" s="374"/>
      <c r="K20" s="379"/>
      <c r="N20" s="9"/>
    </row>
    <row r="21" spans="2:14" ht="15.75" x14ac:dyDescent="0.25">
      <c r="B21" s="32"/>
      <c r="E21" s="32"/>
      <c r="I21" s="1014" t="s">
        <v>695</v>
      </c>
      <c r="J21" s="374"/>
      <c r="K21" s="379"/>
      <c r="N21" s="9"/>
    </row>
    <row r="22" spans="2:14" ht="15.75" x14ac:dyDescent="0.25">
      <c r="B22" s="51" t="s">
        <v>549</v>
      </c>
      <c r="E22" s="51" t="s">
        <v>548</v>
      </c>
      <c r="I22" s="202" t="s">
        <v>210</v>
      </c>
      <c r="J22" s="374">
        <v>40</v>
      </c>
      <c r="K22" s="379">
        <v>60</v>
      </c>
      <c r="L22" s="36"/>
      <c r="N22" s="9"/>
    </row>
    <row r="23" spans="2:14" ht="15.75" x14ac:dyDescent="0.25">
      <c r="B23" s="51" t="s">
        <v>547</v>
      </c>
      <c r="E23" s="51" t="s">
        <v>546</v>
      </c>
      <c r="I23" s="202" t="s">
        <v>208</v>
      </c>
      <c r="J23" s="374">
        <v>40</v>
      </c>
      <c r="K23" s="379">
        <v>60</v>
      </c>
      <c r="L23" s="36"/>
      <c r="N23" s="9"/>
    </row>
    <row r="24" spans="2:14" ht="15.75" x14ac:dyDescent="0.25">
      <c r="B24" s="51"/>
      <c r="E24" s="51"/>
      <c r="I24" s="202"/>
      <c r="J24" s="374"/>
      <c r="K24" s="379"/>
      <c r="L24" s="36"/>
      <c r="N24" s="9"/>
    </row>
    <row r="25" spans="2:14" ht="15.75" x14ac:dyDescent="0.25">
      <c r="B25" s="51" t="s">
        <v>545</v>
      </c>
      <c r="E25" s="53" t="s">
        <v>544</v>
      </c>
      <c r="I25" s="203" t="s">
        <v>630</v>
      </c>
      <c r="J25" s="374">
        <v>70</v>
      </c>
      <c r="K25" s="379">
        <v>90</v>
      </c>
      <c r="L25" s="36"/>
      <c r="N25" s="9"/>
    </row>
    <row r="26" spans="2:14" ht="15.75" x14ac:dyDescent="0.25">
      <c r="B26" s="51"/>
      <c r="E26" s="53"/>
      <c r="I26" s="198"/>
      <c r="J26" s="374"/>
      <c r="K26" s="379"/>
      <c r="L26" s="36"/>
      <c r="N26" s="9"/>
    </row>
    <row r="27" spans="2:14" ht="15.75" x14ac:dyDescent="0.25">
      <c r="B27" s="51" t="s">
        <v>543</v>
      </c>
      <c r="E27" s="51" t="s">
        <v>542</v>
      </c>
      <c r="I27" s="203" t="s">
        <v>218</v>
      </c>
      <c r="J27" s="374">
        <v>40</v>
      </c>
      <c r="K27" s="379">
        <v>60</v>
      </c>
      <c r="L27" s="36"/>
      <c r="N27" s="9"/>
    </row>
    <row r="28" spans="2:14" ht="15.75" x14ac:dyDescent="0.25">
      <c r="B28" s="32"/>
      <c r="E28" s="32"/>
      <c r="I28" s="198"/>
      <c r="J28" s="1017"/>
      <c r="K28" s="1018"/>
      <c r="L28" s="36"/>
      <c r="N28" s="9"/>
    </row>
    <row r="29" spans="2:14" ht="15.75" x14ac:dyDescent="0.25">
      <c r="B29" s="1015" t="s">
        <v>1136</v>
      </c>
      <c r="E29" s="51" t="s">
        <v>540</v>
      </c>
      <c r="F29" s="32"/>
      <c r="G29" s="32"/>
      <c r="I29" s="203" t="s">
        <v>496</v>
      </c>
      <c r="J29" s="374">
        <v>0</v>
      </c>
      <c r="K29" s="379">
        <v>50</v>
      </c>
      <c r="L29" s="36"/>
      <c r="N29" s="9"/>
    </row>
    <row r="30" spans="2:14" ht="5.0999999999999996" customHeight="1" thickBot="1" x14ac:dyDescent="0.3">
      <c r="E30" s="32"/>
      <c r="F30" s="32"/>
      <c r="G30" s="32"/>
      <c r="I30" s="451"/>
      <c r="J30" s="1022"/>
      <c r="K30" s="1023"/>
      <c r="L30" s="36"/>
      <c r="N30" s="9"/>
    </row>
    <row r="31" spans="2:14" ht="9.9499999999999993" customHeight="1" x14ac:dyDescent="0.25">
      <c r="I31" s="1013"/>
      <c r="J31" s="36"/>
      <c r="K31" s="36"/>
      <c r="L31" s="36"/>
      <c r="N31" s="9"/>
    </row>
    <row r="32" spans="2:14" ht="15.75" x14ac:dyDescent="0.25">
      <c r="E32" s="54" t="s">
        <v>693</v>
      </c>
      <c r="I32" s="35" t="s">
        <v>692</v>
      </c>
      <c r="N32" s="9"/>
    </row>
    <row r="33" spans="2:14" ht="18.75" customHeight="1" x14ac:dyDescent="0.25">
      <c r="E33" s="54" t="s">
        <v>693</v>
      </c>
      <c r="I33" s="35" t="s">
        <v>1134</v>
      </c>
      <c r="N33" s="9"/>
    </row>
    <row r="34" spans="2:14" ht="15.75" x14ac:dyDescent="0.25">
      <c r="N34" s="9"/>
    </row>
    <row r="35" spans="2:14" ht="15.75" x14ac:dyDescent="0.25">
      <c r="N35" s="9"/>
    </row>
    <row r="36" spans="2:14" ht="15.75" x14ac:dyDescent="0.25">
      <c r="D36" s="1012" t="s">
        <v>695</v>
      </c>
      <c r="N36" s="9"/>
    </row>
    <row r="37" spans="2:14" x14ac:dyDescent="0.25">
      <c r="B37" s="60">
        <v>5.0000000000000001E-3</v>
      </c>
      <c r="C37" s="60">
        <v>3.5000000000000003E-2</v>
      </c>
      <c r="D37" s="1024" t="str">
        <f>_xlfn.CONCAT(TEXT($B37,"#.000#"),"""","  -  ",TEXT($C37,"#.000#"),"""")</f>
        <v>.005"  -  .035"</v>
      </c>
    </row>
    <row r="38" spans="2:14" x14ac:dyDescent="0.25">
      <c r="B38" s="60">
        <v>3.5099999999999999E-2</v>
      </c>
      <c r="C38" s="60">
        <v>4</v>
      </c>
      <c r="D38" s="1024" t="str">
        <f>_xlfn.CONCAT(TEXT($B38,"#.000#"),"""","  -  ",TEXT($C38,"#.000#"),"""")</f>
        <v>.0351"  -  4.000"</v>
      </c>
    </row>
    <row r="39" spans="2:14" x14ac:dyDescent="0.25">
      <c r="B39" s="60"/>
      <c r="C39" s="60"/>
      <c r="D39" s="51"/>
    </row>
    <row r="40" spans="2:14" x14ac:dyDescent="0.25">
      <c r="B40" s="60"/>
      <c r="C40" s="60"/>
      <c r="D40" s="1012" t="s">
        <v>694</v>
      </c>
    </row>
    <row r="41" spans="2:14" x14ac:dyDescent="0.25">
      <c r="B41" s="60">
        <v>0.04</v>
      </c>
      <c r="C41" s="60">
        <v>1</v>
      </c>
      <c r="D41" s="1024" t="str">
        <f>_xlfn.CONCAT(TEXT($B41,"#.000#"),"""","  -  ",TEXT($C41,"#.000#"),"""")</f>
        <v>.040"  -  1.000"</v>
      </c>
    </row>
    <row r="42" spans="2:14" x14ac:dyDescent="0.25">
      <c r="B42" s="60">
        <v>1.0001</v>
      </c>
      <c r="C42" s="60">
        <v>4</v>
      </c>
      <c r="D42" s="1024" t="str">
        <f>_xlfn.CONCAT(TEXT($B42,"#.000#"),"""","  -  ",TEXT($C42,"#.000#"),"""")</f>
        <v>1.0001"  -  4.000"</v>
      </c>
    </row>
    <row r="43" spans="2:14" x14ac:dyDescent="0.25">
      <c r="B43" s="60">
        <v>4.0000999999999998</v>
      </c>
      <c r="C43" s="60">
        <v>8.5</v>
      </c>
      <c r="D43" s="1024" t="str">
        <f>_xlfn.CONCAT(TEXT($B43,"#.000#"),"""","  -  ",TEXT($C43,"#.000#"),"""")</f>
        <v>4.0001"  -  8.500"</v>
      </c>
    </row>
    <row r="44" spans="2:14" x14ac:dyDescent="0.25">
      <c r="D44" s="51"/>
    </row>
    <row r="45" spans="2:14" x14ac:dyDescent="0.25">
      <c r="D45" s="1012" t="s">
        <v>696</v>
      </c>
    </row>
    <row r="46" spans="2:14" x14ac:dyDescent="0.25">
      <c r="D46" s="250" t="s">
        <v>697</v>
      </c>
    </row>
    <row r="47" spans="2:14" x14ac:dyDescent="0.25">
      <c r="M47" s="60"/>
      <c r="N47" s="60"/>
    </row>
    <row r="48" spans="2:14" x14ac:dyDescent="0.25">
      <c r="M48" s="60"/>
      <c r="N48" s="60"/>
    </row>
    <row r="49" spans="13:14" x14ac:dyDescent="0.25">
      <c r="M49" s="60"/>
      <c r="N49" s="60"/>
    </row>
  </sheetData>
  <sheetProtection algorithmName="SHA-512" hashValue="fGZtA/P44QYCBa9iRJqpFJhUa7cPxaiCADcIeZccqXXnz3penMvolMgPf0mqorE1P637cHiOw2MugemVu5Tjmw==" saltValue="eC53nBcT2+xzjU65/TGMxQ==" spinCount="100000" sheet="1" objects="1" scenarios="1"/>
  <conditionalFormatting sqref="B10:B13 E10:E13 B15:B17 E15:E17 B19 E19 B22:B27 E22:E27 E29">
    <cfRule type="expression" dxfId="36" priority="3">
      <formula>#REF!="y"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0F4E7-C639-4B04-BFFB-8C465829B3DB}">
  <sheetPr>
    <outlinePr summaryBelow="0"/>
    <pageSetUpPr fitToPage="1"/>
  </sheetPr>
  <dimension ref="B1:AQ217"/>
  <sheetViews>
    <sheetView showGridLines="0" zoomScale="90" zoomScaleNormal="90" workbookViewId="0">
      <selection activeCell="AY34" sqref="AY34"/>
    </sheetView>
  </sheetViews>
  <sheetFormatPr defaultRowHeight="15" outlineLevelCol="2" x14ac:dyDescent="0.25"/>
  <cols>
    <col min="1" max="1" width="2.7109375" customWidth="1"/>
    <col min="2" max="2" width="13.140625" hidden="1" customWidth="1" outlineLevel="2"/>
    <col min="3" max="3" width="12" hidden="1" customWidth="1" outlineLevel="2"/>
    <col min="4" max="4" width="2.7109375" hidden="1" customWidth="1" outlineLevel="2"/>
    <col min="5" max="5" width="12" hidden="1" customWidth="1" outlineLevel="2"/>
    <col min="6" max="6" width="2.7109375" hidden="1" customWidth="1" outlineLevel="2"/>
    <col min="7" max="8" width="11.28515625" hidden="1" customWidth="1" outlineLevel="2"/>
    <col min="9" max="9" width="10.85546875" hidden="1" customWidth="1" outlineLevel="2"/>
    <col min="10" max="10" width="12.28515625" hidden="1" customWidth="1" outlineLevel="2"/>
    <col min="11" max="11" width="11.28515625" hidden="1" customWidth="1" outlineLevel="2"/>
    <col min="12" max="12" width="2.7109375" hidden="1" customWidth="1" outlineLevel="2"/>
    <col min="13" max="13" width="11.28515625" hidden="1" customWidth="1" outlineLevel="2"/>
    <col min="14" max="14" width="2.7109375" hidden="1" customWidth="1" outlineLevel="2"/>
    <col min="15" max="16" width="11.28515625" hidden="1" customWidth="1" outlineLevel="2"/>
    <col min="17" max="18" width="2.7109375" hidden="1" customWidth="1" outlineLevel="2"/>
    <col min="19" max="19" width="16.7109375" customWidth="1" collapsed="1"/>
    <col min="20" max="20" width="20.7109375" customWidth="1"/>
    <col min="21" max="21" width="16.42578125" customWidth="1"/>
    <col min="22" max="22" width="17" customWidth="1"/>
    <col min="23" max="23" width="18.5703125" customWidth="1"/>
    <col min="24" max="24" width="10" customWidth="1"/>
    <col min="25" max="25" width="17.28515625" customWidth="1"/>
    <col min="26" max="26" width="22.7109375" customWidth="1"/>
    <col min="27" max="27" width="17" customWidth="1"/>
    <col min="28" max="28" width="17.140625" customWidth="1"/>
    <col min="29" max="29" width="18.5703125" customWidth="1"/>
    <col min="30" max="30" width="14.7109375" customWidth="1"/>
    <col min="31" max="31" width="20.140625" hidden="1" customWidth="1" outlineLevel="1"/>
    <col min="32" max="32" width="12.28515625" hidden="1" customWidth="1" outlineLevel="1"/>
    <col min="33" max="33" width="2.7109375" hidden="1" customWidth="1" outlineLevel="1"/>
    <col min="34" max="34" width="23.7109375" hidden="1" customWidth="1" outlineLevel="1"/>
    <col min="35" max="35" width="12.5703125" hidden="1" customWidth="1" outlineLevel="1"/>
    <col min="36" max="36" width="13.42578125" hidden="1" customWidth="1" outlineLevel="1"/>
    <col min="37" max="37" width="20.42578125" hidden="1" customWidth="1" outlineLevel="1"/>
    <col min="38" max="38" width="16.85546875" hidden="1" customWidth="1" outlineLevel="1"/>
    <col min="39" max="39" width="2.7109375" hidden="1" customWidth="1" outlineLevel="1"/>
    <col min="40" max="40" width="22.28515625" hidden="1" customWidth="1" outlineLevel="1"/>
    <col min="41" max="41" width="16.5703125" hidden="1" customWidth="1" outlineLevel="1"/>
    <col min="42" max="42" width="0" hidden="1" customWidth="1" outlineLevel="1"/>
    <col min="43" max="43" width="9.140625" collapsed="1"/>
  </cols>
  <sheetData>
    <row r="1" spans="2:41" ht="8.1" customHeight="1" x14ac:dyDescent="0.25"/>
    <row r="2" spans="2:41" ht="21" x14ac:dyDescent="0.35">
      <c r="B2" s="385" t="s">
        <v>1131</v>
      </c>
      <c r="S2" s="1" t="s">
        <v>954</v>
      </c>
    </row>
    <row r="3" spans="2:41" ht="15.75" x14ac:dyDescent="0.25">
      <c r="S3" s="9" t="s">
        <v>495</v>
      </c>
    </row>
    <row r="4" spans="2:41" ht="15.75" thickBot="1" x14ac:dyDescent="0.3">
      <c r="B4" s="13"/>
      <c r="S4" s="18"/>
    </row>
    <row r="5" spans="2:41" s="848" customFormat="1" x14ac:dyDescent="0.25">
      <c r="B5" s="945" t="s">
        <v>926</v>
      </c>
      <c r="C5" s="907">
        <v>1E-3</v>
      </c>
      <c r="D5" s="911"/>
      <c r="E5" s="934" t="s">
        <v>955</v>
      </c>
      <c r="G5" s="947" t="s">
        <v>959</v>
      </c>
      <c r="H5" s="947" t="s">
        <v>960</v>
      </c>
      <c r="I5"/>
      <c r="J5" s="907" t="s">
        <v>927</v>
      </c>
      <c r="K5" s="907" t="s">
        <v>956</v>
      </c>
      <c r="L5"/>
      <c r="M5"/>
      <c r="N5"/>
      <c r="O5"/>
      <c r="P5"/>
      <c r="Q5"/>
      <c r="R5" s="910"/>
      <c r="S5" s="770" t="str">
        <f>_xlfn.CONCAT($B5," (",(TEXT(C5,".000")),E5," Increments)")</f>
        <v>Inch Sets (.001" Increments)</v>
      </c>
      <c r="T5" s="770"/>
      <c r="U5" s="770"/>
      <c r="V5" s="770"/>
      <c r="W5" s="879"/>
      <c r="Y5" s="770" t="str">
        <f>_xlfn.CONCAT($J5," (",(TEXT(K5,".000"))," Increments)")</f>
        <v>Metric Sets (.02mm Increments)</v>
      </c>
      <c r="Z5" s="770"/>
      <c r="AA5" s="770"/>
      <c r="AB5" s="770"/>
      <c r="AC5" s="879"/>
      <c r="AE5"/>
      <c r="AF5" s="515"/>
      <c r="AG5" s="515"/>
    </row>
    <row r="6" spans="2:41" s="910" customFormat="1" x14ac:dyDescent="0.25">
      <c r="B6" s="914"/>
      <c r="C6" s="912"/>
      <c r="D6" s="911"/>
      <c r="G6" s="912"/>
      <c r="H6" s="912"/>
      <c r="I6" s="80"/>
      <c r="J6" s="80"/>
      <c r="K6" s="80"/>
      <c r="L6" s="80"/>
      <c r="M6" s="80"/>
      <c r="N6" s="80"/>
      <c r="O6" s="80"/>
      <c r="P6" s="80"/>
      <c r="Q6" s="80"/>
      <c r="S6" s="935" t="s">
        <v>958</v>
      </c>
      <c r="T6" s="929" t="s">
        <v>3</v>
      </c>
      <c r="U6" s="943" t="s">
        <v>11</v>
      </c>
      <c r="V6" s="929" t="s">
        <v>563</v>
      </c>
      <c r="W6" s="937" t="s">
        <v>569</v>
      </c>
      <c r="Y6" s="935" t="s">
        <v>958</v>
      </c>
      <c r="Z6" s="929" t="s">
        <v>3</v>
      </c>
      <c r="AA6" s="943" t="s">
        <v>11</v>
      </c>
      <c r="AB6" s="929" t="s">
        <v>563</v>
      </c>
      <c r="AC6" s="937" t="s">
        <v>569</v>
      </c>
      <c r="AE6" s="80"/>
      <c r="AF6" s="80"/>
      <c r="AG6" s="80"/>
    </row>
    <row r="7" spans="2:41" s="848" customFormat="1" x14ac:dyDescent="0.25">
      <c r="B7" s="907">
        <v>1.0999999999999999E-2</v>
      </c>
      <c r="C7" s="907">
        <v>0.06</v>
      </c>
      <c r="E7" s="848" t="str">
        <f t="shared" ref="E7:E42" si="0">LEFT(S7,LEN(S7)-1)</f>
        <v>M0</v>
      </c>
      <c r="F7" s="934"/>
      <c r="G7" s="946">
        <v>1.5</v>
      </c>
      <c r="H7" s="946">
        <v>2</v>
      </c>
      <c r="I7"/>
      <c r="J7" s="909">
        <v>0.22</v>
      </c>
      <c r="K7" s="909">
        <v>1.5</v>
      </c>
      <c r="M7" s="934" t="s">
        <v>516</v>
      </c>
      <c r="N7"/>
      <c r="O7" s="946">
        <v>1.7</v>
      </c>
      <c r="P7" s="946">
        <v>2.2000000000000002</v>
      </c>
      <c r="Q7"/>
      <c r="S7" s="939" t="s">
        <v>13</v>
      </c>
      <c r="T7" s="921" t="str">
        <f>_xlfn.CONCAT(TEXT($B7,"#.000#"),""""," to ",TEXT($C7,"#.000#"),"""")</f>
        <v>.011" to .060"</v>
      </c>
      <c r="U7" s="905">
        <v>50</v>
      </c>
      <c r="V7" s="925">
        <f t="shared" ref="V7:V42" si="1">MROUND(PRODUCT($G7,$U7),10)</f>
        <v>80</v>
      </c>
      <c r="W7" s="917">
        <f t="shared" ref="W7:W42" si="2">MROUND(PRODUCT($H7,$U7),10)</f>
        <v>100</v>
      </c>
      <c r="Y7" s="939" t="s">
        <v>15</v>
      </c>
      <c r="Z7" s="921" t="str">
        <f t="shared" ref="Z7:Z42" si="3">_xlfn.CONCAT(TEXT($J7,"0.00"),"  to  ",TEXT($K7,"0.00"),"mm")</f>
        <v>0.22  to  1.50mm</v>
      </c>
      <c r="AA7" s="905">
        <v>65</v>
      </c>
      <c r="AB7" s="925">
        <f t="shared" ref="AB7:AB42" si="4">MROUND(PRODUCT($O7,$AA7),10)</f>
        <v>110</v>
      </c>
      <c r="AC7" s="917">
        <f t="shared" ref="AC7:AC42" si="5">MROUND(PRODUCT($P7,$AA7),10)</f>
        <v>140</v>
      </c>
      <c r="AE7" t="s">
        <v>961</v>
      </c>
      <c r="AF7" s="464">
        <f>$V7</f>
        <v>80</v>
      </c>
      <c r="AG7" s="948"/>
      <c r="AH7" s="848" t="s">
        <v>962</v>
      </c>
      <c r="AI7" s="464">
        <f>$W7</f>
        <v>100</v>
      </c>
      <c r="AK7" t="s">
        <v>997</v>
      </c>
      <c r="AL7" s="464">
        <f>$AB7</f>
        <v>110</v>
      </c>
      <c r="AM7"/>
      <c r="AN7" s="848" t="s">
        <v>998</v>
      </c>
      <c r="AO7" s="464">
        <f>$AC7</f>
        <v>140</v>
      </c>
    </row>
    <row r="8" spans="2:41" s="848" customFormat="1" x14ac:dyDescent="0.25">
      <c r="B8" s="907">
        <v>1.0999999999999999E-2</v>
      </c>
      <c r="C8" s="907">
        <v>0.06</v>
      </c>
      <c r="E8" s="848" t="str">
        <f t="shared" si="0"/>
        <v>M0</v>
      </c>
      <c r="F8" s="934"/>
      <c r="G8" s="904">
        <f>G7</f>
        <v>1.5</v>
      </c>
      <c r="H8" s="904">
        <f>H7</f>
        <v>2</v>
      </c>
      <c r="I8"/>
      <c r="J8" s="909">
        <v>0.22</v>
      </c>
      <c r="K8" s="909">
        <v>1.5</v>
      </c>
      <c r="M8" s="934" t="s">
        <v>516</v>
      </c>
      <c r="N8"/>
      <c r="O8" s="904">
        <f>O7</f>
        <v>1.7</v>
      </c>
      <c r="P8" s="904">
        <f>P7</f>
        <v>2.2000000000000002</v>
      </c>
      <c r="Q8"/>
      <c r="S8" s="939" t="s">
        <v>16</v>
      </c>
      <c r="T8" s="921" t="str">
        <f t="shared" ref="T8:T42" si="6">_xlfn.CONCAT(TEXT($B8,"#.000#"),"""","  to  ",TEXT($C8,"#.000#"),"""")</f>
        <v>.011"  to  .060"</v>
      </c>
      <c r="U8" s="905">
        <v>50</v>
      </c>
      <c r="V8" s="925">
        <f t="shared" si="1"/>
        <v>80</v>
      </c>
      <c r="W8" s="917">
        <f t="shared" si="2"/>
        <v>100</v>
      </c>
      <c r="Y8" s="939" t="s">
        <v>18</v>
      </c>
      <c r="Z8" s="921" t="str">
        <f t="shared" si="3"/>
        <v>0.22  to  1.50mm</v>
      </c>
      <c r="AA8" s="905">
        <v>65</v>
      </c>
      <c r="AB8" s="925">
        <f t="shared" si="4"/>
        <v>110</v>
      </c>
      <c r="AC8" s="917">
        <f t="shared" si="5"/>
        <v>140</v>
      </c>
      <c r="AE8" t="str">
        <f>AE7</f>
        <v>CAL-M0-NEW</v>
      </c>
      <c r="AF8" s="464">
        <f t="shared" ref="AF8:AF42" si="7">$V8</f>
        <v>80</v>
      </c>
      <c r="AG8" s="948"/>
      <c r="AH8" s="848" t="str">
        <f>AH7</f>
        <v>CAL-M0-CUST</v>
      </c>
      <c r="AI8" s="464">
        <f t="shared" ref="AI8:AI42" si="8">$W8</f>
        <v>100</v>
      </c>
      <c r="AK8" s="848" t="str">
        <f>AK7</f>
        <v>CAL-M0MM-NEW</v>
      </c>
      <c r="AL8" s="464">
        <f t="shared" ref="AL8:AL42" si="9">$AB8</f>
        <v>110</v>
      </c>
      <c r="AN8" s="848" t="str">
        <f>AN7</f>
        <v>CAL-M0MM-CUST</v>
      </c>
      <c r="AO8" s="464">
        <f t="shared" ref="AO8:AO42" si="10">$AC8</f>
        <v>140</v>
      </c>
    </row>
    <row r="9" spans="2:41" s="848" customFormat="1" x14ac:dyDescent="0.25">
      <c r="B9" s="907">
        <v>1.15E-2</v>
      </c>
      <c r="C9" s="907">
        <v>6.0499999999999998E-2</v>
      </c>
      <c r="E9" s="848" t="str">
        <f t="shared" si="0"/>
        <v>M05</v>
      </c>
      <c r="F9" s="934"/>
      <c r="G9" s="904">
        <f t="shared" ref="G9:H24" si="11">G8</f>
        <v>1.5</v>
      </c>
      <c r="H9" s="904">
        <f t="shared" si="11"/>
        <v>2</v>
      </c>
      <c r="I9"/>
      <c r="J9" s="909">
        <v>0.23</v>
      </c>
      <c r="K9" s="909">
        <v>1.51</v>
      </c>
      <c r="M9" s="934" t="s">
        <v>517</v>
      </c>
      <c r="N9"/>
      <c r="O9" s="904">
        <f t="shared" ref="O9:P24" si="12">O8</f>
        <v>1.7</v>
      </c>
      <c r="P9" s="904">
        <f t="shared" si="12"/>
        <v>2.2000000000000002</v>
      </c>
      <c r="Q9"/>
      <c r="S9" s="918" t="s">
        <v>19</v>
      </c>
      <c r="T9" s="922" t="str">
        <f t="shared" si="6"/>
        <v>.0115"  to  .0605"</v>
      </c>
      <c r="U9" s="915">
        <v>50</v>
      </c>
      <c r="V9" s="926">
        <f t="shared" si="1"/>
        <v>80</v>
      </c>
      <c r="W9" s="919">
        <f t="shared" si="2"/>
        <v>100</v>
      </c>
      <c r="Y9" s="918" t="s">
        <v>20</v>
      </c>
      <c r="Z9" s="922" t="str">
        <f t="shared" si="3"/>
        <v>0.23  to  1.51mm</v>
      </c>
      <c r="AA9" s="915">
        <v>65</v>
      </c>
      <c r="AB9" s="926">
        <f t="shared" si="4"/>
        <v>110</v>
      </c>
      <c r="AC9" s="919">
        <f t="shared" si="5"/>
        <v>140</v>
      </c>
      <c r="AE9" t="s">
        <v>963</v>
      </c>
      <c r="AF9" s="464">
        <f t="shared" si="7"/>
        <v>80</v>
      </c>
      <c r="AG9" s="948"/>
      <c r="AH9" s="848" t="s">
        <v>964</v>
      </c>
      <c r="AI9" s="464">
        <f t="shared" si="8"/>
        <v>100</v>
      </c>
      <c r="AK9" t="s">
        <v>999</v>
      </c>
      <c r="AL9" s="464">
        <f t="shared" si="9"/>
        <v>110</v>
      </c>
      <c r="AN9" s="848" t="s">
        <v>1000</v>
      </c>
      <c r="AO9" s="464">
        <f t="shared" si="10"/>
        <v>140</v>
      </c>
    </row>
    <row r="10" spans="2:41" s="848" customFormat="1" x14ac:dyDescent="0.25">
      <c r="B10" s="907">
        <v>1.15E-2</v>
      </c>
      <c r="C10" s="907">
        <v>6.0499999999999998E-2</v>
      </c>
      <c r="E10" s="848" t="str">
        <f t="shared" si="0"/>
        <v>M05</v>
      </c>
      <c r="F10" s="934"/>
      <c r="G10" s="904">
        <f t="shared" si="11"/>
        <v>1.5</v>
      </c>
      <c r="H10" s="904">
        <f t="shared" si="11"/>
        <v>2</v>
      </c>
      <c r="I10"/>
      <c r="J10" s="909">
        <v>0.23</v>
      </c>
      <c r="K10" s="909">
        <v>1.51</v>
      </c>
      <c r="M10" s="934" t="s">
        <v>517</v>
      </c>
      <c r="N10"/>
      <c r="O10" s="904">
        <f t="shared" si="12"/>
        <v>1.7</v>
      </c>
      <c r="P10" s="904">
        <f t="shared" si="12"/>
        <v>2.2000000000000002</v>
      </c>
      <c r="Q10"/>
      <c r="S10" s="940" t="s">
        <v>21</v>
      </c>
      <c r="T10" s="923" t="str">
        <f t="shared" si="6"/>
        <v>.0115"  to  .0605"</v>
      </c>
      <c r="U10" s="916">
        <v>50</v>
      </c>
      <c r="V10" s="927">
        <f t="shared" si="1"/>
        <v>80</v>
      </c>
      <c r="W10" s="246">
        <f t="shared" si="2"/>
        <v>100</v>
      </c>
      <c r="Y10" s="940" t="s">
        <v>22</v>
      </c>
      <c r="Z10" s="923" t="str">
        <f t="shared" si="3"/>
        <v>0.23  to  1.51mm</v>
      </c>
      <c r="AA10" s="916">
        <v>65</v>
      </c>
      <c r="AB10" s="927">
        <f t="shared" si="4"/>
        <v>110</v>
      </c>
      <c r="AC10" s="246">
        <f t="shared" si="5"/>
        <v>140</v>
      </c>
      <c r="AE10" t="str">
        <f t="shared" ref="AE10" si="13">AE9</f>
        <v>CAL-M05-NEW</v>
      </c>
      <c r="AF10" s="464">
        <f t="shared" si="7"/>
        <v>80</v>
      </c>
      <c r="AG10" s="948"/>
      <c r="AH10" s="848" t="str">
        <f t="shared" ref="AH10" si="14">AH9</f>
        <v>CAL-M05-CUST</v>
      </c>
      <c r="AI10" s="464">
        <f t="shared" si="8"/>
        <v>100</v>
      </c>
      <c r="AK10" s="848" t="str">
        <f t="shared" ref="AK10" si="15">AK9</f>
        <v>CAL-M01MM-NEW</v>
      </c>
      <c r="AL10" s="464">
        <f t="shared" si="9"/>
        <v>110</v>
      </c>
      <c r="AN10" s="848" t="str">
        <f t="shared" ref="AN10" si="16">AN9</f>
        <v>CAL-M01MM-CUST</v>
      </c>
      <c r="AO10" s="464">
        <f t="shared" si="10"/>
        <v>140</v>
      </c>
    </row>
    <row r="11" spans="2:41" s="848" customFormat="1" x14ac:dyDescent="0.25">
      <c r="B11" s="907">
        <v>1.0999999999999999E-2</v>
      </c>
      <c r="C11" s="907">
        <v>0.25</v>
      </c>
      <c r="E11" s="848" t="str">
        <f t="shared" si="0"/>
        <v>C10</v>
      </c>
      <c r="F11" s="934"/>
      <c r="G11" s="904">
        <f t="shared" si="11"/>
        <v>1.5</v>
      </c>
      <c r="H11" s="904">
        <f t="shared" si="11"/>
        <v>2</v>
      </c>
      <c r="I11"/>
      <c r="J11" s="909">
        <v>1.52</v>
      </c>
      <c r="K11" s="909">
        <v>7.7</v>
      </c>
      <c r="M11" s="934" t="s">
        <v>518</v>
      </c>
      <c r="N11"/>
      <c r="O11" s="904">
        <f t="shared" si="12"/>
        <v>1.7</v>
      </c>
      <c r="P11" s="904">
        <f t="shared" si="12"/>
        <v>2.2000000000000002</v>
      </c>
      <c r="Q11"/>
      <c r="S11" s="939" t="s">
        <v>23</v>
      </c>
      <c r="T11" s="921" t="str">
        <f t="shared" si="6"/>
        <v>.011"  to  .250"</v>
      </c>
      <c r="U11" s="905">
        <v>240</v>
      </c>
      <c r="V11" s="925">
        <f t="shared" si="1"/>
        <v>360</v>
      </c>
      <c r="W11" s="917">
        <f t="shared" si="2"/>
        <v>480</v>
      </c>
      <c r="Y11" s="939" t="s">
        <v>24</v>
      </c>
      <c r="Z11" s="921" t="str">
        <f t="shared" si="3"/>
        <v>1.52  to  7.70mm</v>
      </c>
      <c r="AA11" s="905">
        <v>310</v>
      </c>
      <c r="AB11" s="925">
        <f t="shared" si="4"/>
        <v>530</v>
      </c>
      <c r="AC11" s="917">
        <f t="shared" si="5"/>
        <v>680</v>
      </c>
      <c r="AE11" t="s">
        <v>965</v>
      </c>
      <c r="AF11" s="464">
        <f t="shared" si="7"/>
        <v>360</v>
      </c>
      <c r="AG11" s="948"/>
      <c r="AH11" s="848" t="s">
        <v>966</v>
      </c>
      <c r="AI11" s="464">
        <f t="shared" si="8"/>
        <v>480</v>
      </c>
      <c r="AK11" t="s">
        <v>1001</v>
      </c>
      <c r="AL11" s="464">
        <f t="shared" si="9"/>
        <v>530</v>
      </c>
      <c r="AN11" s="848" t="s">
        <v>1002</v>
      </c>
      <c r="AO11" s="464">
        <f t="shared" si="10"/>
        <v>680</v>
      </c>
    </row>
    <row r="12" spans="2:41" s="848" customFormat="1" x14ac:dyDescent="0.25">
      <c r="B12" s="907">
        <v>1.0999999999999999E-2</v>
      </c>
      <c r="C12" s="907">
        <v>0.25</v>
      </c>
      <c r="E12" s="848" t="str">
        <f t="shared" si="0"/>
        <v>C10</v>
      </c>
      <c r="F12" s="934"/>
      <c r="G12" s="904">
        <f t="shared" si="11"/>
        <v>1.5</v>
      </c>
      <c r="H12" s="904">
        <f t="shared" si="11"/>
        <v>2</v>
      </c>
      <c r="I12"/>
      <c r="J12" s="909">
        <v>1.52</v>
      </c>
      <c r="K12" s="909">
        <v>7.7</v>
      </c>
      <c r="M12" s="934" t="s">
        <v>518</v>
      </c>
      <c r="N12"/>
      <c r="O12" s="904">
        <f t="shared" si="12"/>
        <v>1.7</v>
      </c>
      <c r="P12" s="904">
        <f t="shared" si="12"/>
        <v>2.2000000000000002</v>
      </c>
      <c r="Q12"/>
      <c r="S12" s="939" t="s">
        <v>25</v>
      </c>
      <c r="T12" s="921" t="str">
        <f t="shared" si="6"/>
        <v>.011"  to  .250"</v>
      </c>
      <c r="U12" s="905">
        <v>240</v>
      </c>
      <c r="V12" s="925">
        <f t="shared" si="1"/>
        <v>360</v>
      </c>
      <c r="W12" s="917">
        <f t="shared" si="2"/>
        <v>480</v>
      </c>
      <c r="Y12" s="939" t="s">
        <v>26</v>
      </c>
      <c r="Z12" s="921" t="str">
        <f t="shared" si="3"/>
        <v>1.52  to  7.70mm</v>
      </c>
      <c r="AA12" s="905">
        <v>310</v>
      </c>
      <c r="AB12" s="925">
        <f t="shared" si="4"/>
        <v>530</v>
      </c>
      <c r="AC12" s="917">
        <f t="shared" si="5"/>
        <v>680</v>
      </c>
      <c r="AE12" t="str">
        <f t="shared" ref="AE12" si="17">AE11</f>
        <v>CAL-C10-NEW</v>
      </c>
      <c r="AF12" s="464">
        <f t="shared" si="7"/>
        <v>360</v>
      </c>
      <c r="AG12" s="948"/>
      <c r="AH12" s="848" t="str">
        <f t="shared" ref="AH12" si="18">AH11</f>
        <v>CAL-C10-CUST</v>
      </c>
      <c r="AI12" s="464">
        <f t="shared" si="8"/>
        <v>480</v>
      </c>
      <c r="AK12" s="848" t="str">
        <f t="shared" ref="AK12" si="19">AK11</f>
        <v>CAL-M1MM-NEW</v>
      </c>
      <c r="AL12" s="464">
        <f t="shared" si="9"/>
        <v>530</v>
      </c>
      <c r="AN12" s="848" t="str">
        <f t="shared" ref="AN12" si="20">AN11</f>
        <v>CAL-M1MM-CUST</v>
      </c>
      <c r="AO12" s="464">
        <f t="shared" si="10"/>
        <v>680</v>
      </c>
    </row>
    <row r="13" spans="2:41" s="848" customFormat="1" x14ac:dyDescent="0.25">
      <c r="B13" s="907">
        <v>1.15E-2</v>
      </c>
      <c r="C13" s="907">
        <v>0.2505</v>
      </c>
      <c r="E13" s="848" t="str">
        <f t="shared" si="0"/>
        <v>C105</v>
      </c>
      <c r="F13" s="934"/>
      <c r="G13" s="904">
        <f t="shared" si="11"/>
        <v>1.5</v>
      </c>
      <c r="H13" s="904">
        <f t="shared" si="11"/>
        <v>2</v>
      </c>
      <c r="I13"/>
      <c r="J13" s="909">
        <v>1.53</v>
      </c>
      <c r="K13" s="909">
        <v>7.71</v>
      </c>
      <c r="M13" s="934" t="s">
        <v>519</v>
      </c>
      <c r="N13"/>
      <c r="O13" s="904">
        <f t="shared" si="12"/>
        <v>1.7</v>
      </c>
      <c r="P13" s="904">
        <f t="shared" si="12"/>
        <v>2.2000000000000002</v>
      </c>
      <c r="Q13"/>
      <c r="S13" s="918" t="s">
        <v>27</v>
      </c>
      <c r="T13" s="922" t="str">
        <f t="shared" si="6"/>
        <v>.0115"  to  .2505"</v>
      </c>
      <c r="U13" s="915">
        <v>240</v>
      </c>
      <c r="V13" s="926">
        <f t="shared" si="1"/>
        <v>360</v>
      </c>
      <c r="W13" s="919">
        <f t="shared" si="2"/>
        <v>480</v>
      </c>
      <c r="Y13" s="918" t="s">
        <v>28</v>
      </c>
      <c r="Z13" s="922" t="str">
        <f t="shared" si="3"/>
        <v>1.53  to  7.71mm</v>
      </c>
      <c r="AA13" s="915">
        <v>310</v>
      </c>
      <c r="AB13" s="926">
        <f t="shared" si="4"/>
        <v>530</v>
      </c>
      <c r="AC13" s="919">
        <f t="shared" si="5"/>
        <v>680</v>
      </c>
      <c r="AE13" t="s">
        <v>967</v>
      </c>
      <c r="AF13" s="464">
        <f t="shared" si="7"/>
        <v>360</v>
      </c>
      <c r="AG13" s="948"/>
      <c r="AH13" s="848" t="s">
        <v>968</v>
      </c>
      <c r="AI13" s="464">
        <f t="shared" si="8"/>
        <v>480</v>
      </c>
      <c r="AK13" t="s">
        <v>1003</v>
      </c>
      <c r="AL13" s="464">
        <f t="shared" si="9"/>
        <v>530</v>
      </c>
      <c r="AN13" s="848" t="s">
        <v>1004</v>
      </c>
      <c r="AO13" s="464">
        <f t="shared" si="10"/>
        <v>680</v>
      </c>
    </row>
    <row r="14" spans="2:41" s="848" customFormat="1" x14ac:dyDescent="0.25">
      <c r="B14" s="907">
        <v>1.15E-2</v>
      </c>
      <c r="C14" s="907">
        <v>0.2505</v>
      </c>
      <c r="E14" s="848" t="str">
        <f t="shared" si="0"/>
        <v>C105</v>
      </c>
      <c r="F14" s="934"/>
      <c r="G14" s="904">
        <f t="shared" si="11"/>
        <v>1.5</v>
      </c>
      <c r="H14" s="904">
        <f t="shared" si="11"/>
        <v>2</v>
      </c>
      <c r="I14"/>
      <c r="J14" s="909">
        <v>1.53</v>
      </c>
      <c r="K14" s="909">
        <v>7.71</v>
      </c>
      <c r="M14" s="934" t="s">
        <v>519</v>
      </c>
      <c r="N14"/>
      <c r="O14" s="904">
        <f t="shared" si="12"/>
        <v>1.7</v>
      </c>
      <c r="P14" s="904">
        <f t="shared" si="12"/>
        <v>2.2000000000000002</v>
      </c>
      <c r="Q14"/>
      <c r="S14" s="940" t="s">
        <v>29</v>
      </c>
      <c r="T14" s="923" t="str">
        <f t="shared" si="6"/>
        <v>.0115"  to  .2505"</v>
      </c>
      <c r="U14" s="916">
        <v>240</v>
      </c>
      <c r="V14" s="927">
        <f t="shared" si="1"/>
        <v>360</v>
      </c>
      <c r="W14" s="246">
        <f t="shared" si="2"/>
        <v>480</v>
      </c>
      <c r="Y14" s="940" t="s">
        <v>30</v>
      </c>
      <c r="Z14" s="923" t="str">
        <f t="shared" si="3"/>
        <v>1.53  to  7.71mm</v>
      </c>
      <c r="AA14" s="916">
        <v>310</v>
      </c>
      <c r="AB14" s="927">
        <f t="shared" si="4"/>
        <v>530</v>
      </c>
      <c r="AC14" s="246">
        <f t="shared" si="5"/>
        <v>680</v>
      </c>
      <c r="AE14" t="str">
        <f t="shared" ref="AE14" si="21">AE13</f>
        <v>CAL-C105-NEW</v>
      </c>
      <c r="AF14" s="464">
        <f t="shared" si="7"/>
        <v>360</v>
      </c>
      <c r="AG14" s="948"/>
      <c r="AH14" s="848" t="str">
        <f t="shared" ref="AH14" si="22">AH13</f>
        <v>CAL-C105-CUST</v>
      </c>
      <c r="AI14" s="464">
        <f t="shared" si="8"/>
        <v>480</v>
      </c>
      <c r="AK14" s="848" t="str">
        <f t="shared" ref="AK14" si="23">AK13</f>
        <v>CAL-M11MM-NEW</v>
      </c>
      <c r="AL14" s="464">
        <f t="shared" si="9"/>
        <v>530</v>
      </c>
      <c r="AN14" s="848" t="str">
        <f t="shared" ref="AN14" si="24">AN13</f>
        <v>CAL-M11MM-CUST</v>
      </c>
      <c r="AO14" s="464">
        <f t="shared" si="10"/>
        <v>680</v>
      </c>
    </row>
    <row r="15" spans="2:41" s="848" customFormat="1" x14ac:dyDescent="0.25">
      <c r="B15" s="907">
        <v>6.0999999999999999E-2</v>
      </c>
      <c r="C15" s="907">
        <v>0.25</v>
      </c>
      <c r="E15" s="848" t="str">
        <f t="shared" si="0"/>
        <v>M1</v>
      </c>
      <c r="F15" s="934"/>
      <c r="G15" s="904">
        <f t="shared" si="11"/>
        <v>1.5</v>
      </c>
      <c r="H15" s="904">
        <f t="shared" si="11"/>
        <v>2</v>
      </c>
      <c r="I15"/>
      <c r="J15" s="909">
        <v>7.72</v>
      </c>
      <c r="K15" s="909">
        <v>12.7</v>
      </c>
      <c r="M15" s="934" t="s">
        <v>520</v>
      </c>
      <c r="N15"/>
      <c r="O15" s="904">
        <f t="shared" si="12"/>
        <v>1.7</v>
      </c>
      <c r="P15" s="904">
        <f t="shared" si="12"/>
        <v>2.2000000000000002</v>
      </c>
      <c r="Q15"/>
      <c r="S15" s="939" t="s">
        <v>31</v>
      </c>
      <c r="T15" s="921" t="str">
        <f t="shared" si="6"/>
        <v>.061"  to  .250"</v>
      </c>
      <c r="U15" s="905">
        <v>190</v>
      </c>
      <c r="V15" s="925">
        <f t="shared" si="1"/>
        <v>290</v>
      </c>
      <c r="W15" s="917">
        <f t="shared" si="2"/>
        <v>380</v>
      </c>
      <c r="Y15" s="939" t="s">
        <v>32</v>
      </c>
      <c r="Z15" s="921" t="str">
        <f t="shared" si="3"/>
        <v>7.72  to  12.70mm</v>
      </c>
      <c r="AA15" s="905">
        <v>250</v>
      </c>
      <c r="AB15" s="925">
        <f t="shared" si="4"/>
        <v>430</v>
      </c>
      <c r="AC15" s="917">
        <f t="shared" si="5"/>
        <v>550</v>
      </c>
      <c r="AE15" t="s">
        <v>969</v>
      </c>
      <c r="AF15" s="464">
        <f t="shared" si="7"/>
        <v>290</v>
      </c>
      <c r="AG15" s="948"/>
      <c r="AH15" s="848" t="s">
        <v>970</v>
      </c>
      <c r="AI15" s="464">
        <f t="shared" si="8"/>
        <v>380</v>
      </c>
      <c r="AK15" t="s">
        <v>1005</v>
      </c>
      <c r="AL15" s="464">
        <f t="shared" si="9"/>
        <v>430</v>
      </c>
      <c r="AN15" s="848" t="s">
        <v>1006</v>
      </c>
      <c r="AO15" s="464">
        <f t="shared" si="10"/>
        <v>550</v>
      </c>
    </row>
    <row r="16" spans="2:41" s="848" customFormat="1" x14ac:dyDescent="0.25">
      <c r="B16" s="907">
        <v>6.0999999999999999E-2</v>
      </c>
      <c r="C16" s="907">
        <v>0.25</v>
      </c>
      <c r="E16" s="848" t="str">
        <f t="shared" si="0"/>
        <v>M1</v>
      </c>
      <c r="F16" s="934"/>
      <c r="G16" s="904">
        <f t="shared" si="11"/>
        <v>1.5</v>
      </c>
      <c r="H16" s="904">
        <f t="shared" si="11"/>
        <v>2</v>
      </c>
      <c r="I16"/>
      <c r="J16" s="909">
        <v>7.72</v>
      </c>
      <c r="K16" s="909">
        <v>12.7</v>
      </c>
      <c r="M16" s="934" t="s">
        <v>520</v>
      </c>
      <c r="N16"/>
      <c r="O16" s="904">
        <f t="shared" si="12"/>
        <v>1.7</v>
      </c>
      <c r="P16" s="904">
        <f t="shared" si="12"/>
        <v>2.2000000000000002</v>
      </c>
      <c r="Q16"/>
      <c r="S16" s="939" t="s">
        <v>33</v>
      </c>
      <c r="T16" s="921" t="str">
        <f t="shared" si="6"/>
        <v>.061"  to  .250"</v>
      </c>
      <c r="U16" s="905">
        <v>190</v>
      </c>
      <c r="V16" s="925">
        <f t="shared" si="1"/>
        <v>290</v>
      </c>
      <c r="W16" s="917">
        <f t="shared" si="2"/>
        <v>380</v>
      </c>
      <c r="Y16" s="939" t="s">
        <v>34</v>
      </c>
      <c r="Z16" s="921" t="str">
        <f t="shared" si="3"/>
        <v>7.72  to  12.70mm</v>
      </c>
      <c r="AA16" s="905">
        <v>250</v>
      </c>
      <c r="AB16" s="925">
        <f t="shared" si="4"/>
        <v>430</v>
      </c>
      <c r="AC16" s="917">
        <f t="shared" si="5"/>
        <v>550</v>
      </c>
      <c r="AE16" t="str">
        <f t="shared" ref="AE16" si="25">AE15</f>
        <v>CAL-M1-NEW</v>
      </c>
      <c r="AF16" s="464">
        <f t="shared" si="7"/>
        <v>290</v>
      </c>
      <c r="AG16" s="948"/>
      <c r="AH16" s="848" t="str">
        <f t="shared" ref="AH16" si="26">AH15</f>
        <v>CAL-M1-CUST</v>
      </c>
      <c r="AI16" s="464">
        <f t="shared" si="8"/>
        <v>380</v>
      </c>
      <c r="AK16" s="848" t="str">
        <f t="shared" ref="AK16" si="27">AK15</f>
        <v>CAL-M2MM-NEW</v>
      </c>
      <c r="AL16" s="464">
        <f t="shared" si="9"/>
        <v>430</v>
      </c>
      <c r="AN16" s="848" t="str">
        <f t="shared" ref="AN16" si="28">AN15</f>
        <v>CAL-M2MM-CUST</v>
      </c>
      <c r="AO16" s="464">
        <f t="shared" si="10"/>
        <v>550</v>
      </c>
    </row>
    <row r="17" spans="2:41" s="848" customFormat="1" x14ac:dyDescent="0.25">
      <c r="B17" s="907">
        <v>6.1499999999999999E-2</v>
      </c>
      <c r="C17" s="907">
        <v>0.2505</v>
      </c>
      <c r="E17" s="848" t="str">
        <f t="shared" si="0"/>
        <v>M15</v>
      </c>
      <c r="F17" s="934"/>
      <c r="G17" s="904">
        <f t="shared" si="11"/>
        <v>1.5</v>
      </c>
      <c r="H17" s="904">
        <f t="shared" si="11"/>
        <v>2</v>
      </c>
      <c r="I17"/>
      <c r="J17" s="909">
        <v>7.73</v>
      </c>
      <c r="K17" s="909">
        <v>12.71</v>
      </c>
      <c r="M17" s="934" t="s">
        <v>521</v>
      </c>
      <c r="N17"/>
      <c r="O17" s="904">
        <f t="shared" si="12"/>
        <v>1.7</v>
      </c>
      <c r="P17" s="904">
        <f t="shared" si="12"/>
        <v>2.2000000000000002</v>
      </c>
      <c r="Q17"/>
      <c r="S17" s="918" t="s">
        <v>35</v>
      </c>
      <c r="T17" s="922" t="str">
        <f t="shared" si="6"/>
        <v>.0615"  to  .2505"</v>
      </c>
      <c r="U17" s="915">
        <v>190</v>
      </c>
      <c r="V17" s="926">
        <f t="shared" si="1"/>
        <v>290</v>
      </c>
      <c r="W17" s="919">
        <f t="shared" si="2"/>
        <v>380</v>
      </c>
      <c r="Y17" s="918" t="s">
        <v>36</v>
      </c>
      <c r="Z17" s="922" t="str">
        <f t="shared" si="3"/>
        <v>7.73  to  12.71mm</v>
      </c>
      <c r="AA17" s="915">
        <v>250</v>
      </c>
      <c r="AB17" s="926">
        <f t="shared" si="4"/>
        <v>430</v>
      </c>
      <c r="AC17" s="919">
        <f t="shared" si="5"/>
        <v>550</v>
      </c>
      <c r="AE17" t="s">
        <v>971</v>
      </c>
      <c r="AF17" s="464">
        <f t="shared" si="7"/>
        <v>290</v>
      </c>
      <c r="AG17" s="948"/>
      <c r="AH17" s="848" t="s">
        <v>972</v>
      </c>
      <c r="AI17" s="464">
        <f t="shared" si="8"/>
        <v>380</v>
      </c>
      <c r="AK17" t="s">
        <v>1007</v>
      </c>
      <c r="AL17" s="464">
        <f t="shared" si="9"/>
        <v>430</v>
      </c>
      <c r="AN17" s="848" t="s">
        <v>1008</v>
      </c>
      <c r="AO17" s="464">
        <f t="shared" si="10"/>
        <v>550</v>
      </c>
    </row>
    <row r="18" spans="2:41" s="848" customFormat="1" x14ac:dyDescent="0.25">
      <c r="B18" s="907">
        <v>6.1499999999999999E-2</v>
      </c>
      <c r="C18" s="907">
        <v>0.2505</v>
      </c>
      <c r="E18" s="848" t="str">
        <f t="shared" si="0"/>
        <v>M15</v>
      </c>
      <c r="F18" s="934"/>
      <c r="G18" s="904">
        <f t="shared" si="11"/>
        <v>1.5</v>
      </c>
      <c r="H18" s="904">
        <f t="shared" si="11"/>
        <v>2</v>
      </c>
      <c r="I18"/>
      <c r="J18" s="909">
        <v>7.73</v>
      </c>
      <c r="K18" s="909">
        <v>12.71</v>
      </c>
      <c r="M18" s="934" t="s">
        <v>521</v>
      </c>
      <c r="N18"/>
      <c r="O18" s="904">
        <f t="shared" si="12"/>
        <v>1.7</v>
      </c>
      <c r="P18" s="904">
        <f t="shared" si="12"/>
        <v>2.2000000000000002</v>
      </c>
      <c r="Q18"/>
      <c r="S18" s="940" t="s">
        <v>37</v>
      </c>
      <c r="T18" s="923" t="str">
        <f t="shared" si="6"/>
        <v>.0615"  to  .2505"</v>
      </c>
      <c r="U18" s="916">
        <v>190</v>
      </c>
      <c r="V18" s="927">
        <f t="shared" si="1"/>
        <v>290</v>
      </c>
      <c r="W18" s="246">
        <f t="shared" si="2"/>
        <v>380</v>
      </c>
      <c r="Y18" s="940" t="s">
        <v>38</v>
      </c>
      <c r="Z18" s="923" t="str">
        <f t="shared" si="3"/>
        <v>7.73  to  12.71mm</v>
      </c>
      <c r="AA18" s="916">
        <v>250</v>
      </c>
      <c r="AB18" s="927">
        <f t="shared" si="4"/>
        <v>430</v>
      </c>
      <c r="AC18" s="246">
        <f t="shared" si="5"/>
        <v>550</v>
      </c>
      <c r="AE18" t="str">
        <f t="shared" ref="AE18" si="29">AE17</f>
        <v>CAL-M15-NEW</v>
      </c>
      <c r="AF18" s="464">
        <f t="shared" si="7"/>
        <v>290</v>
      </c>
      <c r="AG18" s="948"/>
      <c r="AH18" s="848" t="str">
        <f t="shared" ref="AH18" si="30">AH17</f>
        <v>CAL-M15-CUST</v>
      </c>
      <c r="AI18" s="464">
        <f t="shared" si="8"/>
        <v>380</v>
      </c>
      <c r="AK18" s="848" t="str">
        <f t="shared" ref="AK18" si="31">AK17</f>
        <v>CAL-M21MM-NEW</v>
      </c>
      <c r="AL18" s="464">
        <f t="shared" si="9"/>
        <v>430</v>
      </c>
      <c r="AN18" s="848" t="str">
        <f t="shared" ref="AN18" si="32">AN17</f>
        <v>CAL-M21MM-CUST</v>
      </c>
      <c r="AO18" s="464">
        <f t="shared" si="10"/>
        <v>550</v>
      </c>
    </row>
    <row r="19" spans="2:41" s="848" customFormat="1" x14ac:dyDescent="0.25">
      <c r="B19" s="907">
        <v>0.251</v>
      </c>
      <c r="C19" s="907">
        <v>0.5</v>
      </c>
      <c r="E19" s="848" t="str">
        <f t="shared" si="0"/>
        <v>M2</v>
      </c>
      <c r="F19" s="934"/>
      <c r="G19" s="904">
        <f t="shared" si="11"/>
        <v>1.5</v>
      </c>
      <c r="H19" s="904">
        <f t="shared" si="11"/>
        <v>2</v>
      </c>
      <c r="I19"/>
      <c r="J19" s="909">
        <v>12.72</v>
      </c>
      <c r="K19" s="909">
        <v>15.3</v>
      </c>
      <c r="M19" s="934" t="s">
        <v>522</v>
      </c>
      <c r="N19"/>
      <c r="O19" s="904">
        <f t="shared" si="12"/>
        <v>1.7</v>
      </c>
      <c r="P19" s="904">
        <f t="shared" si="12"/>
        <v>2.2000000000000002</v>
      </c>
      <c r="Q19"/>
      <c r="S19" s="939" t="s">
        <v>39</v>
      </c>
      <c r="T19" s="921" t="str">
        <f t="shared" si="6"/>
        <v>.251"  to  .500"</v>
      </c>
      <c r="U19" s="905">
        <v>250</v>
      </c>
      <c r="V19" s="925">
        <f t="shared" si="1"/>
        <v>380</v>
      </c>
      <c r="W19" s="917">
        <f t="shared" si="2"/>
        <v>500</v>
      </c>
      <c r="Y19" s="939" t="s">
        <v>40</v>
      </c>
      <c r="Z19" s="921" t="str">
        <f t="shared" si="3"/>
        <v>12.72  to  15.30mm</v>
      </c>
      <c r="AA19" s="905">
        <v>130</v>
      </c>
      <c r="AB19" s="925">
        <f t="shared" si="4"/>
        <v>220</v>
      </c>
      <c r="AC19" s="917">
        <f t="shared" si="5"/>
        <v>290</v>
      </c>
      <c r="AE19" t="s">
        <v>973</v>
      </c>
      <c r="AF19" s="464">
        <f t="shared" si="7"/>
        <v>380</v>
      </c>
      <c r="AG19" s="948"/>
      <c r="AH19" s="848" t="s">
        <v>974</v>
      </c>
      <c r="AI19" s="464">
        <f t="shared" si="8"/>
        <v>500</v>
      </c>
      <c r="AK19" t="s">
        <v>1009</v>
      </c>
      <c r="AL19" s="464">
        <f t="shared" si="9"/>
        <v>220</v>
      </c>
      <c r="AN19" s="848" t="s">
        <v>1010</v>
      </c>
      <c r="AO19" s="464">
        <f t="shared" si="10"/>
        <v>290</v>
      </c>
    </row>
    <row r="20" spans="2:41" s="848" customFormat="1" x14ac:dyDescent="0.25">
      <c r="B20" s="907">
        <v>0.251</v>
      </c>
      <c r="C20" s="907">
        <v>0.5</v>
      </c>
      <c r="E20" s="848" t="str">
        <f t="shared" si="0"/>
        <v>M2</v>
      </c>
      <c r="F20" s="934"/>
      <c r="G20" s="904">
        <f t="shared" si="11"/>
        <v>1.5</v>
      </c>
      <c r="H20" s="904">
        <f t="shared" si="11"/>
        <v>2</v>
      </c>
      <c r="I20"/>
      <c r="J20" s="909">
        <v>12.72</v>
      </c>
      <c r="K20" s="909">
        <v>15.3</v>
      </c>
      <c r="M20" s="934" t="s">
        <v>522</v>
      </c>
      <c r="N20"/>
      <c r="O20" s="904">
        <f t="shared" si="12"/>
        <v>1.7</v>
      </c>
      <c r="P20" s="904">
        <f t="shared" si="12"/>
        <v>2.2000000000000002</v>
      </c>
      <c r="Q20"/>
      <c r="S20" s="939" t="s">
        <v>41</v>
      </c>
      <c r="T20" s="921" t="str">
        <f t="shared" si="6"/>
        <v>.251"  to  .500"</v>
      </c>
      <c r="U20" s="905">
        <v>250</v>
      </c>
      <c r="V20" s="925">
        <f t="shared" si="1"/>
        <v>380</v>
      </c>
      <c r="W20" s="917">
        <f t="shared" si="2"/>
        <v>500</v>
      </c>
      <c r="Y20" s="939" t="s">
        <v>42</v>
      </c>
      <c r="Z20" s="921" t="str">
        <f t="shared" si="3"/>
        <v>12.72  to  15.30mm</v>
      </c>
      <c r="AA20" s="905">
        <v>130</v>
      </c>
      <c r="AB20" s="925">
        <f t="shared" si="4"/>
        <v>220</v>
      </c>
      <c r="AC20" s="917">
        <f t="shared" si="5"/>
        <v>290</v>
      </c>
      <c r="AE20" t="str">
        <f t="shared" ref="AE20" si="33">AE19</f>
        <v>CAL-M2-NEW</v>
      </c>
      <c r="AF20" s="464">
        <f t="shared" si="7"/>
        <v>380</v>
      </c>
      <c r="AG20" s="948"/>
      <c r="AH20" s="848" t="str">
        <f t="shared" ref="AH20" si="34">AH19</f>
        <v>CAL-M2-CUST</v>
      </c>
      <c r="AI20" s="464">
        <f t="shared" si="8"/>
        <v>500</v>
      </c>
      <c r="AK20" s="848" t="str">
        <f t="shared" ref="AK20" si="35">AK19</f>
        <v>CAL-M3MM-NEW</v>
      </c>
      <c r="AL20" s="464">
        <f t="shared" si="9"/>
        <v>220</v>
      </c>
      <c r="AN20" s="848" t="str">
        <f t="shared" ref="AN20" si="36">AN19</f>
        <v>CAL-M3MM-CUST</v>
      </c>
      <c r="AO20" s="464">
        <f t="shared" si="10"/>
        <v>290</v>
      </c>
    </row>
    <row r="21" spans="2:41" s="848" customFormat="1" x14ac:dyDescent="0.25">
      <c r="B21" s="907">
        <v>0.2515</v>
      </c>
      <c r="C21" s="907">
        <v>0.50049999999999994</v>
      </c>
      <c r="E21" s="848" t="str">
        <f t="shared" si="0"/>
        <v>M25</v>
      </c>
      <c r="F21" s="934"/>
      <c r="G21" s="904">
        <f t="shared" si="11"/>
        <v>1.5</v>
      </c>
      <c r="H21" s="904">
        <f t="shared" si="11"/>
        <v>2</v>
      </c>
      <c r="I21"/>
      <c r="J21" s="909">
        <v>12.73</v>
      </c>
      <c r="K21" s="909">
        <v>15.31</v>
      </c>
      <c r="M21" s="934" t="s">
        <v>523</v>
      </c>
      <c r="N21"/>
      <c r="O21" s="904">
        <f t="shared" si="12"/>
        <v>1.7</v>
      </c>
      <c r="P21" s="904">
        <f t="shared" si="12"/>
        <v>2.2000000000000002</v>
      </c>
      <c r="Q21"/>
      <c r="S21" s="918" t="s">
        <v>43</v>
      </c>
      <c r="T21" s="922" t="str">
        <f t="shared" si="6"/>
        <v>.2515"  to  .5005"</v>
      </c>
      <c r="U21" s="915">
        <v>250</v>
      </c>
      <c r="V21" s="926">
        <f t="shared" si="1"/>
        <v>380</v>
      </c>
      <c r="W21" s="919">
        <f t="shared" si="2"/>
        <v>500</v>
      </c>
      <c r="Y21" s="918" t="s">
        <v>44</v>
      </c>
      <c r="Z21" s="922" t="str">
        <f t="shared" si="3"/>
        <v>12.73  to  15.31mm</v>
      </c>
      <c r="AA21" s="915">
        <v>130</v>
      </c>
      <c r="AB21" s="926">
        <f t="shared" si="4"/>
        <v>220</v>
      </c>
      <c r="AC21" s="919">
        <f t="shared" si="5"/>
        <v>290</v>
      </c>
      <c r="AE21" t="s">
        <v>975</v>
      </c>
      <c r="AF21" s="464">
        <f t="shared" si="7"/>
        <v>380</v>
      </c>
      <c r="AG21" s="948"/>
      <c r="AH21" s="848" t="s">
        <v>976</v>
      </c>
      <c r="AI21" s="464">
        <f t="shared" si="8"/>
        <v>500</v>
      </c>
      <c r="AK21" t="s">
        <v>1011</v>
      </c>
      <c r="AL21" s="464">
        <f t="shared" si="9"/>
        <v>220</v>
      </c>
      <c r="AN21" s="848" t="s">
        <v>1012</v>
      </c>
      <c r="AO21" s="464">
        <f t="shared" si="10"/>
        <v>290</v>
      </c>
    </row>
    <row r="22" spans="2:41" s="848" customFormat="1" x14ac:dyDescent="0.25">
      <c r="B22" s="907">
        <v>0.2515</v>
      </c>
      <c r="C22" s="907">
        <v>0.50049999999999994</v>
      </c>
      <c r="E22" s="848" t="str">
        <f t="shared" si="0"/>
        <v>M25</v>
      </c>
      <c r="F22" s="934"/>
      <c r="G22" s="904">
        <f t="shared" si="11"/>
        <v>1.5</v>
      </c>
      <c r="H22" s="904">
        <f t="shared" si="11"/>
        <v>2</v>
      </c>
      <c r="I22"/>
      <c r="J22" s="909">
        <v>12.73</v>
      </c>
      <c r="K22" s="909">
        <v>15.31</v>
      </c>
      <c r="M22" s="934" t="s">
        <v>523</v>
      </c>
      <c r="N22"/>
      <c r="O22" s="904">
        <f t="shared" si="12"/>
        <v>1.7</v>
      </c>
      <c r="P22" s="904">
        <f t="shared" si="12"/>
        <v>2.2000000000000002</v>
      </c>
      <c r="Q22"/>
      <c r="S22" s="940" t="s">
        <v>45</v>
      </c>
      <c r="T22" s="923" t="str">
        <f t="shared" si="6"/>
        <v>.2515"  to  .5005"</v>
      </c>
      <c r="U22" s="916">
        <v>250</v>
      </c>
      <c r="V22" s="927">
        <f t="shared" si="1"/>
        <v>380</v>
      </c>
      <c r="W22" s="246">
        <f t="shared" si="2"/>
        <v>500</v>
      </c>
      <c r="Y22" s="940" t="s">
        <v>46</v>
      </c>
      <c r="Z22" s="923" t="str">
        <f t="shared" si="3"/>
        <v>12.73  to  15.31mm</v>
      </c>
      <c r="AA22" s="916">
        <v>130</v>
      </c>
      <c r="AB22" s="927">
        <f t="shared" si="4"/>
        <v>220</v>
      </c>
      <c r="AC22" s="246">
        <f t="shared" si="5"/>
        <v>290</v>
      </c>
      <c r="AE22" t="str">
        <f t="shared" ref="AE22" si="37">AE21</f>
        <v>CAL-M25-NEW</v>
      </c>
      <c r="AF22" s="464">
        <f t="shared" si="7"/>
        <v>380</v>
      </c>
      <c r="AG22" s="948"/>
      <c r="AH22" s="848" t="str">
        <f t="shared" ref="AH22" si="38">AH21</f>
        <v>CAL-M25-CUST</v>
      </c>
      <c r="AI22" s="464">
        <f t="shared" si="8"/>
        <v>500</v>
      </c>
      <c r="AK22" s="848" t="str">
        <f t="shared" ref="AK22" si="39">AK21</f>
        <v>CAL-M31MM-NEW</v>
      </c>
      <c r="AL22" s="464">
        <f t="shared" si="9"/>
        <v>220</v>
      </c>
      <c r="AN22" s="848" t="str">
        <f t="shared" ref="AN22" si="40">AN21</f>
        <v>CAL-M31MM-CUST</v>
      </c>
      <c r="AO22" s="464">
        <f t="shared" si="10"/>
        <v>290</v>
      </c>
    </row>
    <row r="23" spans="2:41" s="848" customFormat="1" x14ac:dyDescent="0.25">
      <c r="B23" s="907">
        <v>0.501</v>
      </c>
      <c r="C23" s="907">
        <v>0.625</v>
      </c>
      <c r="E23" s="848" t="str">
        <f t="shared" si="0"/>
        <v>M3</v>
      </c>
      <c r="F23" s="934"/>
      <c r="G23" s="904">
        <f t="shared" si="11"/>
        <v>1.5</v>
      </c>
      <c r="H23" s="904">
        <f t="shared" si="11"/>
        <v>2</v>
      </c>
      <c r="I23"/>
      <c r="J23" s="909">
        <v>15.32</v>
      </c>
      <c r="K23" s="909">
        <v>17.8</v>
      </c>
      <c r="M23" s="934" t="s">
        <v>524</v>
      </c>
      <c r="N23"/>
      <c r="O23" s="904">
        <f t="shared" si="12"/>
        <v>1.7</v>
      </c>
      <c r="P23" s="904">
        <f t="shared" si="12"/>
        <v>2.2000000000000002</v>
      </c>
      <c r="Q23"/>
      <c r="S23" s="939" t="s">
        <v>47</v>
      </c>
      <c r="T23" s="921" t="str">
        <f t="shared" si="6"/>
        <v>.501"  to  .625"</v>
      </c>
      <c r="U23" s="905">
        <v>125</v>
      </c>
      <c r="V23" s="925">
        <f t="shared" si="1"/>
        <v>190</v>
      </c>
      <c r="W23" s="917">
        <f t="shared" si="2"/>
        <v>250</v>
      </c>
      <c r="Y23" s="939" t="s">
        <v>48</v>
      </c>
      <c r="Z23" s="921" t="str">
        <f t="shared" si="3"/>
        <v>15.32  to  17.80mm</v>
      </c>
      <c r="AA23" s="905">
        <v>125</v>
      </c>
      <c r="AB23" s="925">
        <f t="shared" si="4"/>
        <v>210</v>
      </c>
      <c r="AC23" s="917">
        <f t="shared" si="5"/>
        <v>280</v>
      </c>
      <c r="AE23" t="s">
        <v>977</v>
      </c>
      <c r="AF23" s="464">
        <f t="shared" si="7"/>
        <v>190</v>
      </c>
      <c r="AG23" s="948"/>
      <c r="AH23" s="848" t="s">
        <v>978</v>
      </c>
      <c r="AI23" s="464">
        <f t="shared" si="8"/>
        <v>250</v>
      </c>
      <c r="AK23" t="s">
        <v>1013</v>
      </c>
      <c r="AL23" s="464">
        <f t="shared" si="9"/>
        <v>210</v>
      </c>
      <c r="AN23" s="848" t="s">
        <v>1014</v>
      </c>
      <c r="AO23" s="464">
        <f t="shared" si="10"/>
        <v>280</v>
      </c>
    </row>
    <row r="24" spans="2:41" s="848" customFormat="1" x14ac:dyDescent="0.25">
      <c r="B24" s="907">
        <v>0.501</v>
      </c>
      <c r="C24" s="907">
        <v>0.625</v>
      </c>
      <c r="E24" s="848" t="str">
        <f t="shared" si="0"/>
        <v>M3</v>
      </c>
      <c r="F24" s="934"/>
      <c r="G24" s="904">
        <f t="shared" si="11"/>
        <v>1.5</v>
      </c>
      <c r="H24" s="904">
        <f t="shared" si="11"/>
        <v>2</v>
      </c>
      <c r="I24"/>
      <c r="J24" s="909">
        <v>15.32</v>
      </c>
      <c r="K24" s="909">
        <v>17.8</v>
      </c>
      <c r="M24" s="934" t="s">
        <v>524</v>
      </c>
      <c r="N24"/>
      <c r="O24" s="904">
        <f t="shared" si="12"/>
        <v>1.7</v>
      </c>
      <c r="P24" s="904">
        <f t="shared" si="12"/>
        <v>2.2000000000000002</v>
      </c>
      <c r="Q24"/>
      <c r="S24" s="939" t="s">
        <v>49</v>
      </c>
      <c r="T24" s="921" t="str">
        <f t="shared" si="6"/>
        <v>.501"  to  .625"</v>
      </c>
      <c r="U24" s="905">
        <v>125</v>
      </c>
      <c r="V24" s="925">
        <f t="shared" si="1"/>
        <v>190</v>
      </c>
      <c r="W24" s="917">
        <f t="shared" si="2"/>
        <v>250</v>
      </c>
      <c r="Y24" s="939" t="s">
        <v>50</v>
      </c>
      <c r="Z24" s="921" t="str">
        <f t="shared" si="3"/>
        <v>15.32  to  17.80mm</v>
      </c>
      <c r="AA24" s="905">
        <v>125</v>
      </c>
      <c r="AB24" s="925">
        <f t="shared" si="4"/>
        <v>210</v>
      </c>
      <c r="AC24" s="917">
        <f t="shared" si="5"/>
        <v>280</v>
      </c>
      <c r="AE24" t="str">
        <f t="shared" ref="AE24" si="41">AE23</f>
        <v>CAL-M3-NEW</v>
      </c>
      <c r="AF24" s="464">
        <f t="shared" si="7"/>
        <v>190</v>
      </c>
      <c r="AG24" s="948"/>
      <c r="AH24" s="848" t="str">
        <f t="shared" ref="AH24" si="42">AH23</f>
        <v>CAL-M3-CUST</v>
      </c>
      <c r="AI24" s="464">
        <f t="shared" si="8"/>
        <v>250</v>
      </c>
      <c r="AK24" s="848" t="str">
        <f t="shared" ref="AK24" si="43">AK23</f>
        <v>CAL-M4MM-NEW</v>
      </c>
      <c r="AL24" s="464">
        <f t="shared" si="9"/>
        <v>210</v>
      </c>
      <c r="AN24" s="848" t="str">
        <f t="shared" ref="AN24" si="44">AN23</f>
        <v>CAL-M4MM-CUST</v>
      </c>
      <c r="AO24" s="464">
        <f t="shared" si="10"/>
        <v>280</v>
      </c>
    </row>
    <row r="25" spans="2:41" s="848" customFormat="1" x14ac:dyDescent="0.25">
      <c r="B25" s="907">
        <v>0.50149999999999995</v>
      </c>
      <c r="C25" s="907">
        <v>0.62549999999999994</v>
      </c>
      <c r="E25" s="848" t="str">
        <f t="shared" si="0"/>
        <v>M35</v>
      </c>
      <c r="F25" s="934"/>
      <c r="G25" s="904">
        <f t="shared" ref="G25:H40" si="45">G24</f>
        <v>1.5</v>
      </c>
      <c r="H25" s="904">
        <f t="shared" si="45"/>
        <v>2</v>
      </c>
      <c r="I25"/>
      <c r="J25" s="909">
        <v>15.33</v>
      </c>
      <c r="K25" s="909">
        <v>17.809999999999999</v>
      </c>
      <c r="M25" s="934" t="s">
        <v>525</v>
      </c>
      <c r="N25"/>
      <c r="O25" s="904">
        <f t="shared" ref="O25:P40" si="46">O24</f>
        <v>1.7</v>
      </c>
      <c r="P25" s="904">
        <f t="shared" si="46"/>
        <v>2.2000000000000002</v>
      </c>
      <c r="Q25"/>
      <c r="S25" s="918" t="s">
        <v>51</v>
      </c>
      <c r="T25" s="922" t="str">
        <f t="shared" si="6"/>
        <v>.5015"  to  .6255"</v>
      </c>
      <c r="U25" s="915">
        <v>125</v>
      </c>
      <c r="V25" s="926">
        <f t="shared" si="1"/>
        <v>190</v>
      </c>
      <c r="W25" s="919">
        <f t="shared" si="2"/>
        <v>250</v>
      </c>
      <c r="Y25" s="918" t="s">
        <v>52</v>
      </c>
      <c r="Z25" s="922" t="str">
        <f t="shared" si="3"/>
        <v>15.33  to  17.81mm</v>
      </c>
      <c r="AA25" s="915">
        <v>125</v>
      </c>
      <c r="AB25" s="926">
        <f t="shared" si="4"/>
        <v>210</v>
      </c>
      <c r="AC25" s="919">
        <f t="shared" si="5"/>
        <v>280</v>
      </c>
      <c r="AE25" t="s">
        <v>979</v>
      </c>
      <c r="AF25" s="464">
        <f t="shared" si="7"/>
        <v>190</v>
      </c>
      <c r="AG25" s="948"/>
      <c r="AH25" s="848" t="s">
        <v>980</v>
      </c>
      <c r="AI25" s="464">
        <f t="shared" si="8"/>
        <v>250</v>
      </c>
      <c r="AK25" t="s">
        <v>1015</v>
      </c>
      <c r="AL25" s="464">
        <f t="shared" si="9"/>
        <v>210</v>
      </c>
      <c r="AN25" s="848" t="s">
        <v>1016</v>
      </c>
      <c r="AO25" s="464">
        <f t="shared" si="10"/>
        <v>280</v>
      </c>
    </row>
    <row r="26" spans="2:41" s="848" customFormat="1" x14ac:dyDescent="0.25">
      <c r="B26" s="907">
        <v>0.50149999999999995</v>
      </c>
      <c r="C26" s="907">
        <v>0.62549999999999994</v>
      </c>
      <c r="E26" s="848" t="str">
        <f t="shared" si="0"/>
        <v>M35</v>
      </c>
      <c r="F26" s="934"/>
      <c r="G26" s="904">
        <f t="shared" si="45"/>
        <v>1.5</v>
      </c>
      <c r="H26" s="904">
        <f t="shared" si="45"/>
        <v>2</v>
      </c>
      <c r="I26"/>
      <c r="J26" s="909">
        <v>15.33</v>
      </c>
      <c r="K26" s="909">
        <v>17.809999999999999</v>
      </c>
      <c r="M26" s="934" t="s">
        <v>525</v>
      </c>
      <c r="N26"/>
      <c r="O26" s="904">
        <f t="shared" si="46"/>
        <v>1.7</v>
      </c>
      <c r="P26" s="904">
        <f t="shared" si="46"/>
        <v>2.2000000000000002</v>
      </c>
      <c r="Q26"/>
      <c r="S26" s="940" t="s">
        <v>53</v>
      </c>
      <c r="T26" s="923" t="str">
        <f t="shared" si="6"/>
        <v>.5015"  to  .6255"</v>
      </c>
      <c r="U26" s="916">
        <v>125</v>
      </c>
      <c r="V26" s="927">
        <f t="shared" si="1"/>
        <v>190</v>
      </c>
      <c r="W26" s="246">
        <f t="shared" si="2"/>
        <v>250</v>
      </c>
      <c r="Y26" s="940" t="s">
        <v>54</v>
      </c>
      <c r="Z26" s="923" t="str">
        <f t="shared" si="3"/>
        <v>15.33  to  17.81mm</v>
      </c>
      <c r="AA26" s="916">
        <v>125</v>
      </c>
      <c r="AB26" s="927">
        <f t="shared" si="4"/>
        <v>210</v>
      </c>
      <c r="AC26" s="246">
        <f t="shared" si="5"/>
        <v>280</v>
      </c>
      <c r="AE26" t="str">
        <f t="shared" ref="AE26" si="47">AE25</f>
        <v>CAL-M35-NEW</v>
      </c>
      <c r="AF26" s="464">
        <f t="shared" si="7"/>
        <v>190</v>
      </c>
      <c r="AG26" s="948"/>
      <c r="AH26" s="848" t="str">
        <f t="shared" ref="AH26" si="48">AH25</f>
        <v>CAL-M35-CUST</v>
      </c>
      <c r="AI26" s="464">
        <f t="shared" si="8"/>
        <v>250</v>
      </c>
      <c r="AK26" s="848" t="str">
        <f t="shared" ref="AK26" si="49">AK25</f>
        <v>CAL-M41MM-NEW</v>
      </c>
      <c r="AL26" s="464">
        <f t="shared" si="9"/>
        <v>210</v>
      </c>
      <c r="AN26" s="848" t="str">
        <f t="shared" ref="AN26" si="50">AN25</f>
        <v>CAL-M41MM-CUST</v>
      </c>
      <c r="AO26" s="464">
        <f t="shared" si="10"/>
        <v>280</v>
      </c>
    </row>
    <row r="27" spans="2:41" s="848" customFormat="1" x14ac:dyDescent="0.25">
      <c r="B27" s="907">
        <v>0.626</v>
      </c>
      <c r="C27" s="907">
        <v>0.75</v>
      </c>
      <c r="E27" s="848" t="str">
        <f t="shared" si="0"/>
        <v>M4</v>
      </c>
      <c r="F27" s="934"/>
      <c r="G27" s="904">
        <f t="shared" si="45"/>
        <v>1.5</v>
      </c>
      <c r="H27" s="904">
        <f t="shared" si="45"/>
        <v>2</v>
      </c>
      <c r="I27"/>
      <c r="J27" s="909">
        <v>17.82</v>
      </c>
      <c r="K27" s="909">
        <v>20.36</v>
      </c>
      <c r="M27" s="934" t="s">
        <v>526</v>
      </c>
      <c r="N27"/>
      <c r="O27" s="904">
        <f t="shared" si="46"/>
        <v>1.7</v>
      </c>
      <c r="P27" s="904">
        <f t="shared" si="46"/>
        <v>2.2000000000000002</v>
      </c>
      <c r="Q27"/>
      <c r="S27" s="939" t="s">
        <v>55</v>
      </c>
      <c r="T27" s="921" t="str">
        <f t="shared" si="6"/>
        <v>.626"  to  .750"</v>
      </c>
      <c r="U27" s="905">
        <v>125</v>
      </c>
      <c r="V27" s="925">
        <f t="shared" si="1"/>
        <v>190</v>
      </c>
      <c r="W27" s="917">
        <f t="shared" si="2"/>
        <v>250</v>
      </c>
      <c r="Y27" s="939" t="s">
        <v>56</v>
      </c>
      <c r="Z27" s="921" t="str">
        <f t="shared" si="3"/>
        <v>17.82  to  20.36mm</v>
      </c>
      <c r="AA27" s="905">
        <v>128</v>
      </c>
      <c r="AB27" s="925">
        <f t="shared" si="4"/>
        <v>220</v>
      </c>
      <c r="AC27" s="917">
        <f t="shared" si="5"/>
        <v>280</v>
      </c>
      <c r="AE27" t="s">
        <v>981</v>
      </c>
      <c r="AF27" s="464">
        <f t="shared" si="7"/>
        <v>190</v>
      </c>
      <c r="AG27" s="948"/>
      <c r="AH27" s="848" t="s">
        <v>982</v>
      </c>
      <c r="AI27" s="464">
        <f t="shared" si="8"/>
        <v>250</v>
      </c>
      <c r="AK27" t="s">
        <v>1017</v>
      </c>
      <c r="AL27" s="464">
        <f t="shared" si="9"/>
        <v>220</v>
      </c>
      <c r="AN27" s="848" t="s">
        <v>1018</v>
      </c>
      <c r="AO27" s="464">
        <f t="shared" si="10"/>
        <v>280</v>
      </c>
    </row>
    <row r="28" spans="2:41" s="848" customFormat="1" x14ac:dyDescent="0.25">
      <c r="B28" s="907">
        <v>0.626</v>
      </c>
      <c r="C28" s="907">
        <v>0.75</v>
      </c>
      <c r="E28" s="848" t="str">
        <f t="shared" si="0"/>
        <v>M4</v>
      </c>
      <c r="F28" s="934"/>
      <c r="G28" s="904">
        <f t="shared" si="45"/>
        <v>1.5</v>
      </c>
      <c r="H28" s="904">
        <f t="shared" si="45"/>
        <v>2</v>
      </c>
      <c r="I28"/>
      <c r="J28" s="909">
        <v>17.82</v>
      </c>
      <c r="K28" s="909">
        <v>20.36</v>
      </c>
      <c r="M28" s="934" t="s">
        <v>526</v>
      </c>
      <c r="N28"/>
      <c r="O28" s="904">
        <f t="shared" si="46"/>
        <v>1.7</v>
      </c>
      <c r="P28" s="904">
        <f t="shared" si="46"/>
        <v>2.2000000000000002</v>
      </c>
      <c r="Q28"/>
      <c r="S28" s="939" t="s">
        <v>57</v>
      </c>
      <c r="T28" s="921" t="str">
        <f t="shared" si="6"/>
        <v>.626"  to  .750"</v>
      </c>
      <c r="U28" s="905">
        <v>125</v>
      </c>
      <c r="V28" s="925">
        <f t="shared" si="1"/>
        <v>190</v>
      </c>
      <c r="W28" s="917">
        <f t="shared" si="2"/>
        <v>250</v>
      </c>
      <c r="Y28" s="939" t="s">
        <v>58</v>
      </c>
      <c r="Z28" s="921" t="str">
        <f t="shared" si="3"/>
        <v>17.82  to  20.36mm</v>
      </c>
      <c r="AA28" s="905">
        <v>128</v>
      </c>
      <c r="AB28" s="925">
        <f t="shared" si="4"/>
        <v>220</v>
      </c>
      <c r="AC28" s="917">
        <f t="shared" si="5"/>
        <v>280</v>
      </c>
      <c r="AE28" t="str">
        <f t="shared" ref="AE28" si="51">AE27</f>
        <v>CAL-M4-NEW</v>
      </c>
      <c r="AF28" s="464">
        <f t="shared" si="7"/>
        <v>190</v>
      </c>
      <c r="AG28" s="948"/>
      <c r="AH28" s="848" t="str">
        <f t="shared" ref="AH28" si="52">AH27</f>
        <v>CAL-M4-CUST</v>
      </c>
      <c r="AI28" s="464">
        <f t="shared" si="8"/>
        <v>250</v>
      </c>
      <c r="AK28" s="848" t="str">
        <f t="shared" ref="AK28" si="53">AK27</f>
        <v>CAL-M5MM-NEW</v>
      </c>
      <c r="AL28" s="464">
        <f t="shared" si="9"/>
        <v>220</v>
      </c>
      <c r="AN28" s="848" t="str">
        <f t="shared" ref="AN28" si="54">AN27</f>
        <v>CAL-M5MM-CUST</v>
      </c>
      <c r="AO28" s="464">
        <f t="shared" si="10"/>
        <v>280</v>
      </c>
    </row>
    <row r="29" spans="2:41" s="848" customFormat="1" x14ac:dyDescent="0.25">
      <c r="B29" s="907">
        <v>0.62649999999999995</v>
      </c>
      <c r="C29" s="907">
        <v>0.75049999999999994</v>
      </c>
      <c r="E29" s="848" t="str">
        <f t="shared" si="0"/>
        <v>M45</v>
      </c>
      <c r="F29" s="934"/>
      <c r="G29" s="904">
        <f t="shared" si="45"/>
        <v>1.5</v>
      </c>
      <c r="H29" s="904">
        <f t="shared" si="45"/>
        <v>2</v>
      </c>
      <c r="I29"/>
      <c r="J29" s="909">
        <v>17.829999999999998</v>
      </c>
      <c r="K29" s="909">
        <v>20.37</v>
      </c>
      <c r="M29" s="934" t="s">
        <v>527</v>
      </c>
      <c r="N29"/>
      <c r="O29" s="904">
        <f t="shared" si="46"/>
        <v>1.7</v>
      </c>
      <c r="P29" s="904">
        <f t="shared" si="46"/>
        <v>2.2000000000000002</v>
      </c>
      <c r="Q29"/>
      <c r="S29" s="918" t="s">
        <v>59</v>
      </c>
      <c r="T29" s="922" t="str">
        <f t="shared" si="6"/>
        <v>.6265"  to  .7505"</v>
      </c>
      <c r="U29" s="915">
        <v>125</v>
      </c>
      <c r="V29" s="926">
        <f t="shared" si="1"/>
        <v>190</v>
      </c>
      <c r="W29" s="919">
        <f t="shared" si="2"/>
        <v>250</v>
      </c>
      <c r="Y29" s="918" t="s">
        <v>60</v>
      </c>
      <c r="Z29" s="922" t="str">
        <f t="shared" si="3"/>
        <v>17.83  to  20.37mm</v>
      </c>
      <c r="AA29" s="915">
        <v>128</v>
      </c>
      <c r="AB29" s="926">
        <f t="shared" si="4"/>
        <v>220</v>
      </c>
      <c r="AC29" s="919">
        <f t="shared" si="5"/>
        <v>280</v>
      </c>
      <c r="AE29" t="s">
        <v>983</v>
      </c>
      <c r="AF29" s="464">
        <f t="shared" si="7"/>
        <v>190</v>
      </c>
      <c r="AG29" s="948"/>
      <c r="AH29" s="848" t="s">
        <v>984</v>
      </c>
      <c r="AI29" s="464">
        <f t="shared" si="8"/>
        <v>250</v>
      </c>
      <c r="AK29" t="s">
        <v>1019</v>
      </c>
      <c r="AL29" s="464">
        <f t="shared" si="9"/>
        <v>220</v>
      </c>
      <c r="AN29" s="848" t="s">
        <v>1020</v>
      </c>
      <c r="AO29" s="464">
        <f t="shared" si="10"/>
        <v>280</v>
      </c>
    </row>
    <row r="30" spans="2:41" s="848" customFormat="1" x14ac:dyDescent="0.25">
      <c r="B30" s="907">
        <v>0.62649999999999995</v>
      </c>
      <c r="C30" s="907">
        <v>0.75049999999999994</v>
      </c>
      <c r="E30" s="848" t="str">
        <f t="shared" si="0"/>
        <v>M45</v>
      </c>
      <c r="F30" s="934"/>
      <c r="G30" s="904">
        <f t="shared" si="45"/>
        <v>1.5</v>
      </c>
      <c r="H30" s="904">
        <f t="shared" si="45"/>
        <v>2</v>
      </c>
      <c r="I30"/>
      <c r="J30" s="909">
        <v>17.829999999999998</v>
      </c>
      <c r="K30" s="909">
        <v>20.37</v>
      </c>
      <c r="M30" s="934" t="s">
        <v>527</v>
      </c>
      <c r="N30"/>
      <c r="O30" s="904">
        <f t="shared" si="46"/>
        <v>1.7</v>
      </c>
      <c r="P30" s="904">
        <f t="shared" si="46"/>
        <v>2.2000000000000002</v>
      </c>
      <c r="Q30"/>
      <c r="S30" s="940" t="s">
        <v>61</v>
      </c>
      <c r="T30" s="923" t="str">
        <f t="shared" si="6"/>
        <v>.6265"  to  .7505"</v>
      </c>
      <c r="U30" s="916">
        <v>125</v>
      </c>
      <c r="V30" s="927">
        <f t="shared" si="1"/>
        <v>190</v>
      </c>
      <c r="W30" s="246">
        <f t="shared" si="2"/>
        <v>250</v>
      </c>
      <c r="Y30" s="940" t="s">
        <v>62</v>
      </c>
      <c r="Z30" s="923" t="str">
        <f t="shared" si="3"/>
        <v>17.83  to  20.37mm</v>
      </c>
      <c r="AA30" s="916">
        <v>128</v>
      </c>
      <c r="AB30" s="927">
        <f t="shared" si="4"/>
        <v>220</v>
      </c>
      <c r="AC30" s="246">
        <f t="shared" si="5"/>
        <v>280</v>
      </c>
      <c r="AE30" t="str">
        <f t="shared" ref="AE30" si="55">AE29</f>
        <v>CAL-M45-NEW</v>
      </c>
      <c r="AF30" s="464">
        <f t="shared" si="7"/>
        <v>190</v>
      </c>
      <c r="AG30" s="948"/>
      <c r="AH30" s="848" t="str">
        <f t="shared" ref="AH30" si="56">AH29</f>
        <v>CAL-M45-CUST</v>
      </c>
      <c r="AI30" s="464">
        <f t="shared" si="8"/>
        <v>250</v>
      </c>
      <c r="AK30" s="848" t="str">
        <f t="shared" ref="AK30" si="57">AK29</f>
        <v>CAL-M51MM-NEW</v>
      </c>
      <c r="AL30" s="464">
        <f t="shared" si="9"/>
        <v>220</v>
      </c>
      <c r="AN30" s="848" t="str">
        <f t="shared" ref="AN30" si="58">AN29</f>
        <v>CAL-M51MM-CUST</v>
      </c>
      <c r="AO30" s="464">
        <f t="shared" si="10"/>
        <v>280</v>
      </c>
    </row>
    <row r="31" spans="2:41" s="848" customFormat="1" x14ac:dyDescent="0.25">
      <c r="B31" s="907">
        <v>0.751</v>
      </c>
      <c r="C31" s="907">
        <v>0.83199999999999996</v>
      </c>
      <c r="E31" s="848" t="str">
        <f t="shared" si="0"/>
        <v>M5</v>
      </c>
      <c r="F31" s="934"/>
      <c r="G31" s="904">
        <f t="shared" si="45"/>
        <v>1.5</v>
      </c>
      <c r="H31" s="904">
        <f t="shared" si="45"/>
        <v>2</v>
      </c>
      <c r="I31"/>
      <c r="J31" s="909">
        <v>20.38</v>
      </c>
      <c r="K31" s="909">
        <v>22.04</v>
      </c>
      <c r="M31" s="934" t="s">
        <v>528</v>
      </c>
      <c r="N31"/>
      <c r="O31" s="904">
        <f t="shared" si="46"/>
        <v>1.7</v>
      </c>
      <c r="P31" s="904">
        <f t="shared" si="46"/>
        <v>2.2000000000000002</v>
      </c>
      <c r="Q31"/>
      <c r="S31" s="939" t="s">
        <v>63</v>
      </c>
      <c r="T31" s="921" t="str">
        <f t="shared" si="6"/>
        <v>.751"  to  .832"</v>
      </c>
      <c r="U31" s="905">
        <v>82</v>
      </c>
      <c r="V31" s="925">
        <f t="shared" si="1"/>
        <v>120</v>
      </c>
      <c r="W31" s="917">
        <f t="shared" si="2"/>
        <v>160</v>
      </c>
      <c r="Y31" s="939" t="s">
        <v>64</v>
      </c>
      <c r="Z31" s="921" t="str">
        <f t="shared" si="3"/>
        <v>20.38  to  22.04mm</v>
      </c>
      <c r="AA31" s="905">
        <v>84</v>
      </c>
      <c r="AB31" s="925">
        <f t="shared" si="4"/>
        <v>140</v>
      </c>
      <c r="AC31" s="917">
        <f t="shared" si="5"/>
        <v>180</v>
      </c>
      <c r="AE31" t="s">
        <v>985</v>
      </c>
      <c r="AF31" s="464">
        <f t="shared" si="7"/>
        <v>120</v>
      </c>
      <c r="AG31" s="948"/>
      <c r="AH31" s="848" t="s">
        <v>986</v>
      </c>
      <c r="AI31" s="464">
        <f t="shared" si="8"/>
        <v>160</v>
      </c>
      <c r="AK31" t="s">
        <v>1021</v>
      </c>
      <c r="AL31" s="464">
        <f t="shared" si="9"/>
        <v>140</v>
      </c>
      <c r="AN31" s="848" t="s">
        <v>1022</v>
      </c>
      <c r="AO31" s="464">
        <f t="shared" si="10"/>
        <v>180</v>
      </c>
    </row>
    <row r="32" spans="2:41" s="848" customFormat="1" x14ac:dyDescent="0.25">
      <c r="B32" s="907">
        <v>0.751</v>
      </c>
      <c r="C32" s="907">
        <v>0.83199999999999996</v>
      </c>
      <c r="E32" s="848" t="str">
        <f t="shared" si="0"/>
        <v>M5</v>
      </c>
      <c r="F32" s="934"/>
      <c r="G32" s="904">
        <f t="shared" si="45"/>
        <v>1.5</v>
      </c>
      <c r="H32" s="904">
        <f t="shared" si="45"/>
        <v>2</v>
      </c>
      <c r="I32"/>
      <c r="J32" s="909">
        <v>20.38</v>
      </c>
      <c r="K32" s="909">
        <v>22.04</v>
      </c>
      <c r="M32" s="934" t="s">
        <v>528</v>
      </c>
      <c r="N32"/>
      <c r="O32" s="904">
        <f t="shared" si="46"/>
        <v>1.7</v>
      </c>
      <c r="P32" s="904">
        <f t="shared" si="46"/>
        <v>2.2000000000000002</v>
      </c>
      <c r="Q32"/>
      <c r="S32" s="939" t="s">
        <v>65</v>
      </c>
      <c r="T32" s="921" t="str">
        <f t="shared" si="6"/>
        <v>.751"  to  .832"</v>
      </c>
      <c r="U32" s="905">
        <v>82</v>
      </c>
      <c r="V32" s="925">
        <f t="shared" si="1"/>
        <v>120</v>
      </c>
      <c r="W32" s="917">
        <f t="shared" si="2"/>
        <v>160</v>
      </c>
      <c r="Y32" s="939" t="s">
        <v>66</v>
      </c>
      <c r="Z32" s="921" t="str">
        <f t="shared" si="3"/>
        <v>20.38  to  22.04mm</v>
      </c>
      <c r="AA32" s="905">
        <v>84</v>
      </c>
      <c r="AB32" s="925">
        <f t="shared" si="4"/>
        <v>140</v>
      </c>
      <c r="AC32" s="917">
        <f t="shared" si="5"/>
        <v>180</v>
      </c>
      <c r="AE32" t="str">
        <f t="shared" ref="AE32" si="59">AE31</f>
        <v>CAL-M5-NEW</v>
      </c>
      <c r="AF32" s="464">
        <f t="shared" si="7"/>
        <v>120</v>
      </c>
      <c r="AG32" s="948"/>
      <c r="AH32" s="848" t="str">
        <f t="shared" ref="AH32" si="60">AH31</f>
        <v>CAL-M5-CUST</v>
      </c>
      <c r="AI32" s="464">
        <f t="shared" si="8"/>
        <v>160</v>
      </c>
      <c r="AK32" s="848" t="str">
        <f t="shared" ref="AK32" si="61">AK31</f>
        <v>CAL-M6MM-NEW</v>
      </c>
      <c r="AL32" s="464">
        <f t="shared" si="9"/>
        <v>140</v>
      </c>
      <c r="AN32" s="848" t="str">
        <f t="shared" ref="AN32" si="62">AN31</f>
        <v>CAL-M6MM-CUST</v>
      </c>
      <c r="AO32" s="464">
        <f t="shared" si="10"/>
        <v>180</v>
      </c>
    </row>
    <row r="33" spans="2:41" s="848" customFormat="1" x14ac:dyDescent="0.25">
      <c r="B33" s="907">
        <v>0.75149999999999995</v>
      </c>
      <c r="C33" s="907">
        <v>0.83250000000000002</v>
      </c>
      <c r="E33" s="848" t="str">
        <f t="shared" si="0"/>
        <v>M55</v>
      </c>
      <c r="F33" s="934"/>
      <c r="G33" s="904">
        <f t="shared" si="45"/>
        <v>1.5</v>
      </c>
      <c r="H33" s="904">
        <f t="shared" si="45"/>
        <v>2</v>
      </c>
      <c r="I33"/>
      <c r="J33" s="909">
        <v>20.39</v>
      </c>
      <c r="K33" s="909">
        <v>22.05</v>
      </c>
      <c r="M33" s="934" t="s">
        <v>529</v>
      </c>
      <c r="N33"/>
      <c r="O33" s="904">
        <f t="shared" si="46"/>
        <v>1.7</v>
      </c>
      <c r="P33" s="904">
        <f t="shared" si="46"/>
        <v>2.2000000000000002</v>
      </c>
      <c r="Q33"/>
      <c r="S33" s="918" t="s">
        <v>67</v>
      </c>
      <c r="T33" s="922" t="str">
        <f t="shared" si="6"/>
        <v>.7515"  to  .8325"</v>
      </c>
      <c r="U33" s="915">
        <v>82</v>
      </c>
      <c r="V33" s="926">
        <f t="shared" si="1"/>
        <v>120</v>
      </c>
      <c r="W33" s="919">
        <f t="shared" si="2"/>
        <v>160</v>
      </c>
      <c r="Y33" s="918" t="s">
        <v>68</v>
      </c>
      <c r="Z33" s="922" t="str">
        <f t="shared" si="3"/>
        <v>20.39  to  22.05mm</v>
      </c>
      <c r="AA33" s="915">
        <v>84</v>
      </c>
      <c r="AB33" s="926">
        <f t="shared" si="4"/>
        <v>140</v>
      </c>
      <c r="AC33" s="919">
        <f t="shared" si="5"/>
        <v>180</v>
      </c>
      <c r="AE33" t="s">
        <v>987</v>
      </c>
      <c r="AF33" s="464">
        <f t="shared" si="7"/>
        <v>120</v>
      </c>
      <c r="AG33" s="948"/>
      <c r="AH33" s="848" t="s">
        <v>988</v>
      </c>
      <c r="AI33" s="464">
        <f t="shared" si="8"/>
        <v>160</v>
      </c>
      <c r="AK33" t="s">
        <v>1023</v>
      </c>
      <c r="AL33" s="464">
        <f t="shared" si="9"/>
        <v>140</v>
      </c>
      <c r="AN33" s="848" t="s">
        <v>1024</v>
      </c>
      <c r="AO33" s="464">
        <f t="shared" si="10"/>
        <v>180</v>
      </c>
    </row>
    <row r="34" spans="2:41" s="848" customFormat="1" x14ac:dyDescent="0.25">
      <c r="B34" s="907">
        <v>0.75149999999999995</v>
      </c>
      <c r="C34" s="907">
        <v>0.83250000000000002</v>
      </c>
      <c r="E34" s="848" t="str">
        <f t="shared" si="0"/>
        <v>M55</v>
      </c>
      <c r="F34" s="934"/>
      <c r="G34" s="904">
        <f t="shared" si="45"/>
        <v>1.5</v>
      </c>
      <c r="H34" s="904">
        <f t="shared" si="45"/>
        <v>2</v>
      </c>
      <c r="I34"/>
      <c r="J34" s="909">
        <v>20.39</v>
      </c>
      <c r="K34" s="909">
        <v>22.05</v>
      </c>
      <c r="M34" s="934" t="s">
        <v>529</v>
      </c>
      <c r="N34"/>
      <c r="O34" s="904">
        <f t="shared" si="46"/>
        <v>1.7</v>
      </c>
      <c r="P34" s="904">
        <f t="shared" si="46"/>
        <v>2.2000000000000002</v>
      </c>
      <c r="Q34"/>
      <c r="S34" s="940" t="s">
        <v>69</v>
      </c>
      <c r="T34" s="923" t="str">
        <f t="shared" si="6"/>
        <v>.7515"  to  .8325"</v>
      </c>
      <c r="U34" s="916">
        <v>82</v>
      </c>
      <c r="V34" s="927">
        <f t="shared" si="1"/>
        <v>120</v>
      </c>
      <c r="W34" s="246">
        <f t="shared" si="2"/>
        <v>160</v>
      </c>
      <c r="Y34" s="940" t="s">
        <v>70</v>
      </c>
      <c r="Z34" s="923" t="str">
        <f t="shared" si="3"/>
        <v>20.39  to  22.05mm</v>
      </c>
      <c r="AA34" s="916">
        <v>84</v>
      </c>
      <c r="AB34" s="927">
        <f t="shared" si="4"/>
        <v>140</v>
      </c>
      <c r="AC34" s="246">
        <f t="shared" si="5"/>
        <v>180</v>
      </c>
      <c r="AE34" t="str">
        <f t="shared" ref="AE34" si="63">AE33</f>
        <v>CAL-M55-NEW</v>
      </c>
      <c r="AF34" s="464">
        <f t="shared" si="7"/>
        <v>120</v>
      </c>
      <c r="AG34" s="948"/>
      <c r="AH34" s="848" t="str">
        <f t="shared" ref="AH34" si="64">AH33</f>
        <v>CAL-M55-CUST</v>
      </c>
      <c r="AI34" s="464">
        <f t="shared" si="8"/>
        <v>160</v>
      </c>
      <c r="AK34" s="848" t="str">
        <f t="shared" ref="AK34" si="65">AK33</f>
        <v>CAL-M61MM-NEW</v>
      </c>
      <c r="AL34" s="464">
        <f t="shared" si="9"/>
        <v>140</v>
      </c>
      <c r="AN34" s="848" t="str">
        <f t="shared" ref="AN34" si="66">AN33</f>
        <v>CAL-M61MM-CUST</v>
      </c>
      <c r="AO34" s="464">
        <f t="shared" si="10"/>
        <v>180</v>
      </c>
    </row>
    <row r="35" spans="2:41" s="848" customFormat="1" x14ac:dyDescent="0.25">
      <c r="B35" s="907">
        <v>0.83299999999999996</v>
      </c>
      <c r="C35" s="907">
        <v>0.91600000000000004</v>
      </c>
      <c r="E35" s="848" t="str">
        <f t="shared" si="0"/>
        <v>M6</v>
      </c>
      <c r="F35" s="934"/>
      <c r="G35" s="904">
        <f t="shared" si="45"/>
        <v>1.5</v>
      </c>
      <c r="H35" s="904">
        <f t="shared" si="45"/>
        <v>2</v>
      </c>
      <c r="I35"/>
      <c r="J35" s="909">
        <v>22.06</v>
      </c>
      <c r="K35" s="909">
        <v>23.72</v>
      </c>
      <c r="M35" s="934" t="s">
        <v>530</v>
      </c>
      <c r="N35"/>
      <c r="O35" s="904">
        <f t="shared" si="46"/>
        <v>1.7</v>
      </c>
      <c r="P35" s="904">
        <f t="shared" si="46"/>
        <v>2.2000000000000002</v>
      </c>
      <c r="Q35"/>
      <c r="S35" s="939" t="s">
        <v>71</v>
      </c>
      <c r="T35" s="921" t="str">
        <f t="shared" si="6"/>
        <v>.833"  to  .916"</v>
      </c>
      <c r="U35" s="905">
        <v>84</v>
      </c>
      <c r="V35" s="925">
        <f t="shared" si="1"/>
        <v>130</v>
      </c>
      <c r="W35" s="917">
        <f t="shared" si="2"/>
        <v>170</v>
      </c>
      <c r="Y35" s="939" t="s">
        <v>72</v>
      </c>
      <c r="Z35" s="921" t="str">
        <f t="shared" si="3"/>
        <v>22.06  to  23.72mm</v>
      </c>
      <c r="AA35" s="905">
        <v>84</v>
      </c>
      <c r="AB35" s="925">
        <f t="shared" si="4"/>
        <v>140</v>
      </c>
      <c r="AC35" s="917">
        <f t="shared" si="5"/>
        <v>180</v>
      </c>
      <c r="AE35" t="s">
        <v>989</v>
      </c>
      <c r="AF35" s="464">
        <f t="shared" si="7"/>
        <v>130</v>
      </c>
      <c r="AG35" s="948"/>
      <c r="AH35" s="848" t="s">
        <v>990</v>
      </c>
      <c r="AI35" s="464">
        <f t="shared" si="8"/>
        <v>170</v>
      </c>
      <c r="AK35" t="s">
        <v>1025</v>
      </c>
      <c r="AL35" s="464">
        <f t="shared" si="9"/>
        <v>140</v>
      </c>
      <c r="AN35" s="848" t="s">
        <v>1026</v>
      </c>
      <c r="AO35" s="464">
        <f t="shared" si="10"/>
        <v>180</v>
      </c>
    </row>
    <row r="36" spans="2:41" s="848" customFormat="1" x14ac:dyDescent="0.25">
      <c r="B36" s="907">
        <v>0.83299999999999996</v>
      </c>
      <c r="C36" s="907">
        <v>0.91600000000000004</v>
      </c>
      <c r="E36" s="848" t="str">
        <f t="shared" si="0"/>
        <v>M6</v>
      </c>
      <c r="F36" s="934"/>
      <c r="G36" s="904">
        <f t="shared" si="45"/>
        <v>1.5</v>
      </c>
      <c r="H36" s="904">
        <f t="shared" si="45"/>
        <v>2</v>
      </c>
      <c r="I36"/>
      <c r="J36" s="909">
        <v>22.06</v>
      </c>
      <c r="K36" s="909">
        <v>23.72</v>
      </c>
      <c r="M36" s="934" t="s">
        <v>530</v>
      </c>
      <c r="N36"/>
      <c r="O36" s="904">
        <f t="shared" si="46"/>
        <v>1.7</v>
      </c>
      <c r="P36" s="904">
        <f t="shared" si="46"/>
        <v>2.2000000000000002</v>
      </c>
      <c r="Q36"/>
      <c r="S36" s="939" t="s">
        <v>73</v>
      </c>
      <c r="T36" s="921" t="str">
        <f t="shared" si="6"/>
        <v>.833"  to  .916"</v>
      </c>
      <c r="U36" s="905">
        <v>84</v>
      </c>
      <c r="V36" s="925">
        <f t="shared" si="1"/>
        <v>130</v>
      </c>
      <c r="W36" s="917">
        <f t="shared" si="2"/>
        <v>170</v>
      </c>
      <c r="Y36" s="939" t="s">
        <v>74</v>
      </c>
      <c r="Z36" s="921" t="str">
        <f t="shared" si="3"/>
        <v>22.06  to  23.72mm</v>
      </c>
      <c r="AA36" s="905">
        <v>84</v>
      </c>
      <c r="AB36" s="925">
        <f t="shared" si="4"/>
        <v>140</v>
      </c>
      <c r="AC36" s="917">
        <f t="shared" si="5"/>
        <v>180</v>
      </c>
      <c r="AE36" t="str">
        <f t="shared" ref="AE36" si="67">AE35</f>
        <v>CAL-M6-NEW</v>
      </c>
      <c r="AF36" s="464">
        <f t="shared" si="7"/>
        <v>130</v>
      </c>
      <c r="AG36" s="948"/>
      <c r="AH36" s="848" t="str">
        <f t="shared" ref="AH36" si="68">AH35</f>
        <v>CAL-M6-CUST</v>
      </c>
      <c r="AI36" s="464">
        <f t="shared" si="8"/>
        <v>170</v>
      </c>
      <c r="AK36" s="848" t="str">
        <f t="shared" ref="AK36" si="69">AK35</f>
        <v>CAL-M7MM-NEW</v>
      </c>
      <c r="AL36" s="464">
        <f t="shared" si="9"/>
        <v>140</v>
      </c>
      <c r="AN36" s="848" t="str">
        <f t="shared" ref="AN36" si="70">AN35</f>
        <v>CAL-M7MM-CUST</v>
      </c>
      <c r="AO36" s="464">
        <f t="shared" si="10"/>
        <v>180</v>
      </c>
    </row>
    <row r="37" spans="2:41" s="848" customFormat="1" x14ac:dyDescent="0.25">
      <c r="B37" s="907">
        <v>0.83350000000000002</v>
      </c>
      <c r="C37" s="907">
        <v>0.91649999999999998</v>
      </c>
      <c r="E37" s="848" t="str">
        <f t="shared" si="0"/>
        <v>M65</v>
      </c>
      <c r="F37" s="934"/>
      <c r="G37" s="904">
        <f t="shared" si="45"/>
        <v>1.5</v>
      </c>
      <c r="H37" s="904">
        <f t="shared" si="45"/>
        <v>2</v>
      </c>
      <c r="I37"/>
      <c r="J37" s="909">
        <v>22.07</v>
      </c>
      <c r="K37" s="909">
        <v>23.73</v>
      </c>
      <c r="M37" s="934" t="s">
        <v>531</v>
      </c>
      <c r="N37"/>
      <c r="O37" s="904">
        <f t="shared" si="46"/>
        <v>1.7</v>
      </c>
      <c r="P37" s="904">
        <f t="shared" si="46"/>
        <v>2.2000000000000002</v>
      </c>
      <c r="Q37"/>
      <c r="S37" s="918" t="s">
        <v>75</v>
      </c>
      <c r="T37" s="922" t="str">
        <f t="shared" si="6"/>
        <v>.8335"  to  .9165"</v>
      </c>
      <c r="U37" s="915">
        <v>84</v>
      </c>
      <c r="V37" s="926">
        <f t="shared" si="1"/>
        <v>130</v>
      </c>
      <c r="W37" s="919">
        <f t="shared" si="2"/>
        <v>170</v>
      </c>
      <c r="Y37" s="918" t="s">
        <v>76</v>
      </c>
      <c r="Z37" s="922" t="str">
        <f t="shared" si="3"/>
        <v>22.07  to  23.73mm</v>
      </c>
      <c r="AA37" s="915">
        <v>84</v>
      </c>
      <c r="AB37" s="926">
        <f t="shared" si="4"/>
        <v>140</v>
      </c>
      <c r="AC37" s="919">
        <f t="shared" si="5"/>
        <v>180</v>
      </c>
      <c r="AE37" t="s">
        <v>991</v>
      </c>
      <c r="AF37" s="464">
        <f t="shared" si="7"/>
        <v>130</v>
      </c>
      <c r="AG37" s="948"/>
      <c r="AH37" s="848" t="s">
        <v>992</v>
      </c>
      <c r="AI37" s="464">
        <f t="shared" si="8"/>
        <v>170</v>
      </c>
      <c r="AK37" t="s">
        <v>1027</v>
      </c>
      <c r="AL37" s="464">
        <f t="shared" si="9"/>
        <v>140</v>
      </c>
      <c r="AN37" s="848" t="s">
        <v>1028</v>
      </c>
      <c r="AO37" s="464">
        <f t="shared" si="10"/>
        <v>180</v>
      </c>
    </row>
    <row r="38" spans="2:41" s="848" customFormat="1" x14ac:dyDescent="0.25">
      <c r="B38" s="907">
        <v>0.83350000000000002</v>
      </c>
      <c r="C38" s="907">
        <v>0.91649999999999998</v>
      </c>
      <c r="E38" s="848" t="str">
        <f t="shared" si="0"/>
        <v>M65</v>
      </c>
      <c r="F38" s="934"/>
      <c r="G38" s="904">
        <f t="shared" si="45"/>
        <v>1.5</v>
      </c>
      <c r="H38" s="904">
        <f t="shared" si="45"/>
        <v>2</v>
      </c>
      <c r="I38"/>
      <c r="J38" s="909">
        <v>22.07</v>
      </c>
      <c r="K38" s="909">
        <v>23.73</v>
      </c>
      <c r="M38" s="934" t="s">
        <v>531</v>
      </c>
      <c r="N38"/>
      <c r="O38" s="904">
        <f t="shared" si="46"/>
        <v>1.7</v>
      </c>
      <c r="P38" s="904">
        <f t="shared" si="46"/>
        <v>2.2000000000000002</v>
      </c>
      <c r="Q38"/>
      <c r="S38" s="940" t="s">
        <v>77</v>
      </c>
      <c r="T38" s="923" t="str">
        <f t="shared" si="6"/>
        <v>.8335"  to  .9165"</v>
      </c>
      <c r="U38" s="916">
        <v>84</v>
      </c>
      <c r="V38" s="927">
        <f t="shared" si="1"/>
        <v>130</v>
      </c>
      <c r="W38" s="246">
        <f t="shared" si="2"/>
        <v>170</v>
      </c>
      <c r="Y38" s="940" t="s">
        <v>78</v>
      </c>
      <c r="Z38" s="923" t="str">
        <f t="shared" si="3"/>
        <v>22.07  to  23.73mm</v>
      </c>
      <c r="AA38" s="916">
        <v>84</v>
      </c>
      <c r="AB38" s="927">
        <f t="shared" si="4"/>
        <v>140</v>
      </c>
      <c r="AC38" s="246">
        <f t="shared" si="5"/>
        <v>180</v>
      </c>
      <c r="AE38" t="str">
        <f t="shared" ref="AE38" si="71">AE37</f>
        <v>CAL-M65-NEW</v>
      </c>
      <c r="AF38" s="464">
        <f t="shared" si="7"/>
        <v>130</v>
      </c>
      <c r="AG38" s="948"/>
      <c r="AH38" s="848" t="str">
        <f t="shared" ref="AH38" si="72">AH37</f>
        <v>CAL-M65-CUST</v>
      </c>
      <c r="AI38" s="464">
        <f t="shared" si="8"/>
        <v>170</v>
      </c>
      <c r="AK38" s="848" t="str">
        <f t="shared" ref="AK38" si="73">AK37</f>
        <v>CAL-M71MM-NEW</v>
      </c>
      <c r="AL38" s="464">
        <f t="shared" si="9"/>
        <v>140</v>
      </c>
      <c r="AN38" s="848" t="str">
        <f t="shared" ref="AN38" si="74">AN37</f>
        <v>CAL-M71MM-CUST</v>
      </c>
      <c r="AO38" s="464">
        <f t="shared" si="10"/>
        <v>180</v>
      </c>
    </row>
    <row r="39" spans="2:41" s="848" customFormat="1" x14ac:dyDescent="0.25">
      <c r="B39" s="907">
        <v>0.91700000000000004</v>
      </c>
      <c r="C39" s="907">
        <v>1</v>
      </c>
      <c r="E39" s="848" t="str">
        <f t="shared" si="0"/>
        <v>M7</v>
      </c>
      <c r="F39" s="934"/>
      <c r="G39" s="904">
        <f t="shared" si="45"/>
        <v>1.5</v>
      </c>
      <c r="H39" s="904">
        <f t="shared" si="45"/>
        <v>2</v>
      </c>
      <c r="I39"/>
      <c r="J39" s="909">
        <v>23.74</v>
      </c>
      <c r="K39" s="909">
        <v>25.4</v>
      </c>
      <c r="M39" s="934" t="s">
        <v>532</v>
      </c>
      <c r="N39"/>
      <c r="O39" s="904">
        <f t="shared" si="46"/>
        <v>1.7</v>
      </c>
      <c r="P39" s="904">
        <f t="shared" si="46"/>
        <v>2.2000000000000002</v>
      </c>
      <c r="Q39"/>
      <c r="S39" s="939" t="s">
        <v>79</v>
      </c>
      <c r="T39" s="921" t="str">
        <f t="shared" si="6"/>
        <v>.917"  to  1.000"</v>
      </c>
      <c r="U39" s="905">
        <v>84</v>
      </c>
      <c r="V39" s="925">
        <f t="shared" si="1"/>
        <v>130</v>
      </c>
      <c r="W39" s="917">
        <f t="shared" si="2"/>
        <v>170</v>
      </c>
      <c r="Y39" s="939" t="s">
        <v>80</v>
      </c>
      <c r="Z39" s="921" t="str">
        <f t="shared" si="3"/>
        <v>23.74  to  25.40mm</v>
      </c>
      <c r="AA39" s="905">
        <v>84</v>
      </c>
      <c r="AB39" s="925">
        <f t="shared" si="4"/>
        <v>140</v>
      </c>
      <c r="AC39" s="917">
        <f t="shared" si="5"/>
        <v>180</v>
      </c>
      <c r="AE39" t="s">
        <v>993</v>
      </c>
      <c r="AF39" s="464">
        <f t="shared" si="7"/>
        <v>130</v>
      </c>
      <c r="AG39" s="948"/>
      <c r="AH39" s="848" t="s">
        <v>994</v>
      </c>
      <c r="AI39" s="464">
        <f t="shared" si="8"/>
        <v>170</v>
      </c>
      <c r="AK39" t="s">
        <v>1029</v>
      </c>
      <c r="AL39" s="464">
        <f t="shared" si="9"/>
        <v>140</v>
      </c>
      <c r="AN39" s="848" t="s">
        <v>1030</v>
      </c>
      <c r="AO39" s="464">
        <f t="shared" si="10"/>
        <v>180</v>
      </c>
    </row>
    <row r="40" spans="2:41" s="848" customFormat="1" x14ac:dyDescent="0.25">
      <c r="B40" s="907">
        <v>0.91700000000000004</v>
      </c>
      <c r="C40" s="907">
        <v>1</v>
      </c>
      <c r="E40" s="848" t="str">
        <f t="shared" si="0"/>
        <v>M7</v>
      </c>
      <c r="F40" s="934"/>
      <c r="G40" s="904">
        <f t="shared" si="45"/>
        <v>1.5</v>
      </c>
      <c r="H40" s="904">
        <f t="shared" si="45"/>
        <v>2</v>
      </c>
      <c r="I40"/>
      <c r="J40" s="909">
        <v>23.74</v>
      </c>
      <c r="K40" s="909">
        <v>25.4</v>
      </c>
      <c r="M40" s="934" t="s">
        <v>532</v>
      </c>
      <c r="N40"/>
      <c r="O40" s="904">
        <f t="shared" si="46"/>
        <v>1.7</v>
      </c>
      <c r="P40" s="904">
        <f t="shared" si="46"/>
        <v>2.2000000000000002</v>
      </c>
      <c r="Q40"/>
      <c r="S40" s="939" t="s">
        <v>81</v>
      </c>
      <c r="T40" s="921" t="str">
        <f t="shared" si="6"/>
        <v>.917"  to  1.000"</v>
      </c>
      <c r="U40" s="905">
        <v>84</v>
      </c>
      <c r="V40" s="925">
        <f t="shared" si="1"/>
        <v>130</v>
      </c>
      <c r="W40" s="917">
        <f t="shared" si="2"/>
        <v>170</v>
      </c>
      <c r="Y40" s="939" t="s">
        <v>82</v>
      </c>
      <c r="Z40" s="921" t="str">
        <f t="shared" si="3"/>
        <v>23.74  to  25.40mm</v>
      </c>
      <c r="AA40" s="905">
        <v>84</v>
      </c>
      <c r="AB40" s="925">
        <f t="shared" si="4"/>
        <v>140</v>
      </c>
      <c r="AC40" s="917">
        <f t="shared" si="5"/>
        <v>180</v>
      </c>
      <c r="AE40" t="str">
        <f t="shared" ref="AE40" si="75">AE39</f>
        <v>CAL-M7-NEW</v>
      </c>
      <c r="AF40" s="464">
        <f t="shared" si="7"/>
        <v>130</v>
      </c>
      <c r="AG40" s="948"/>
      <c r="AH40" s="848" t="str">
        <f t="shared" ref="AH40" si="76">AH39</f>
        <v>CAL-M7-CUST</v>
      </c>
      <c r="AI40" s="464">
        <f t="shared" si="8"/>
        <v>170</v>
      </c>
      <c r="AK40" s="848" t="str">
        <f t="shared" ref="AK40" si="77">AK39</f>
        <v>CAL-M8MM-NEW</v>
      </c>
      <c r="AL40" s="464">
        <f t="shared" si="9"/>
        <v>140</v>
      </c>
      <c r="AN40" s="848" t="str">
        <f t="shared" ref="AN40" si="78">AN39</f>
        <v>CAL-M8MM-CUST</v>
      </c>
      <c r="AO40" s="464">
        <f t="shared" si="10"/>
        <v>180</v>
      </c>
    </row>
    <row r="41" spans="2:41" s="848" customFormat="1" x14ac:dyDescent="0.25">
      <c r="B41" s="907">
        <v>0.91749999999999998</v>
      </c>
      <c r="C41" s="907">
        <v>1.0004999999999999</v>
      </c>
      <c r="E41" s="848" t="str">
        <f t="shared" si="0"/>
        <v>M75</v>
      </c>
      <c r="F41" s="934"/>
      <c r="G41" s="904">
        <f t="shared" ref="G41:H42" si="79">G40</f>
        <v>1.5</v>
      </c>
      <c r="H41" s="904">
        <f t="shared" si="79"/>
        <v>2</v>
      </c>
      <c r="I41"/>
      <c r="J41" s="909">
        <v>23.75</v>
      </c>
      <c r="K41" s="909">
        <v>25.41</v>
      </c>
      <c r="M41" s="934" t="s">
        <v>533</v>
      </c>
      <c r="N41"/>
      <c r="O41" s="904">
        <f t="shared" ref="O41:P42" si="80">O40</f>
        <v>1.7</v>
      </c>
      <c r="P41" s="904">
        <f t="shared" si="80"/>
        <v>2.2000000000000002</v>
      </c>
      <c r="Q41"/>
      <c r="S41" s="918" t="s">
        <v>83</v>
      </c>
      <c r="T41" s="922" t="str">
        <f t="shared" si="6"/>
        <v>.9175"  to  1.0005"</v>
      </c>
      <c r="U41" s="915">
        <v>84</v>
      </c>
      <c r="V41" s="926">
        <f t="shared" si="1"/>
        <v>130</v>
      </c>
      <c r="W41" s="919">
        <f t="shared" si="2"/>
        <v>170</v>
      </c>
      <c r="Y41" s="918" t="s">
        <v>84</v>
      </c>
      <c r="Z41" s="922" t="str">
        <f t="shared" si="3"/>
        <v>23.75  to  25.41mm</v>
      </c>
      <c r="AA41" s="915">
        <v>84</v>
      </c>
      <c r="AB41" s="926">
        <f t="shared" si="4"/>
        <v>140</v>
      </c>
      <c r="AC41" s="919">
        <f t="shared" si="5"/>
        <v>180</v>
      </c>
      <c r="AE41" t="s">
        <v>995</v>
      </c>
      <c r="AF41" s="464">
        <f t="shared" si="7"/>
        <v>130</v>
      </c>
      <c r="AG41" s="948"/>
      <c r="AH41" s="848" t="s">
        <v>996</v>
      </c>
      <c r="AI41" s="464">
        <f t="shared" si="8"/>
        <v>170</v>
      </c>
      <c r="AK41" t="s">
        <v>1031</v>
      </c>
      <c r="AL41" s="464">
        <f t="shared" si="9"/>
        <v>140</v>
      </c>
      <c r="AN41" s="848" t="s">
        <v>1032</v>
      </c>
      <c r="AO41" s="464">
        <f t="shared" si="10"/>
        <v>180</v>
      </c>
    </row>
    <row r="42" spans="2:41" s="848" customFormat="1" ht="15.75" thickBot="1" x14ac:dyDescent="0.3">
      <c r="B42" s="907">
        <v>0.91749999999999998</v>
      </c>
      <c r="C42" s="907">
        <v>1.0004999999999999</v>
      </c>
      <c r="E42" s="848" t="str">
        <f t="shared" si="0"/>
        <v>M75</v>
      </c>
      <c r="F42" s="934"/>
      <c r="G42" s="904">
        <f t="shared" si="79"/>
        <v>1.5</v>
      </c>
      <c r="H42" s="904">
        <f t="shared" si="79"/>
        <v>2</v>
      </c>
      <c r="I42"/>
      <c r="J42" s="909">
        <v>23.75</v>
      </c>
      <c r="K42" s="909">
        <v>25.41</v>
      </c>
      <c r="M42" s="934" t="s">
        <v>533</v>
      </c>
      <c r="N42"/>
      <c r="O42" s="904">
        <f t="shared" si="80"/>
        <v>1.7</v>
      </c>
      <c r="P42" s="904">
        <f t="shared" si="80"/>
        <v>2.2000000000000002</v>
      </c>
      <c r="Q42"/>
      <c r="S42" s="941" t="s">
        <v>85</v>
      </c>
      <c r="T42" s="924" t="str">
        <f t="shared" si="6"/>
        <v>.9175"  to  1.0005"</v>
      </c>
      <c r="U42" s="920">
        <v>84</v>
      </c>
      <c r="V42" s="928">
        <f t="shared" si="1"/>
        <v>130</v>
      </c>
      <c r="W42" s="249">
        <f t="shared" si="2"/>
        <v>170</v>
      </c>
      <c r="Y42" s="941" t="s">
        <v>86</v>
      </c>
      <c r="Z42" s="924" t="str">
        <f t="shared" si="3"/>
        <v>23.75  to  25.41mm</v>
      </c>
      <c r="AA42" s="920">
        <v>84</v>
      </c>
      <c r="AB42" s="928">
        <f t="shared" si="4"/>
        <v>140</v>
      </c>
      <c r="AC42" s="249">
        <f t="shared" si="5"/>
        <v>180</v>
      </c>
      <c r="AE42" t="str">
        <f t="shared" ref="AE42" si="81">AE41</f>
        <v>CAL-M75-NEW</v>
      </c>
      <c r="AF42" s="464">
        <f t="shared" si="7"/>
        <v>130</v>
      </c>
      <c r="AG42" s="948"/>
      <c r="AH42" s="848" t="str">
        <f t="shared" ref="AH42" si="82">AH41</f>
        <v>CAL-M75-CUST</v>
      </c>
      <c r="AI42" s="464">
        <f t="shared" si="8"/>
        <v>170</v>
      </c>
      <c r="AK42" s="848" t="str">
        <f t="shared" ref="AK42" si="83">AK41</f>
        <v>CAL-M81MM-NEW</v>
      </c>
      <c r="AL42" s="464">
        <f t="shared" si="9"/>
        <v>140</v>
      </c>
      <c r="AN42" s="848" t="str">
        <f t="shared" ref="AN42" si="84">AN41</f>
        <v>CAL-M81MM-CUST</v>
      </c>
      <c r="AO42" s="464">
        <f t="shared" si="10"/>
        <v>180</v>
      </c>
    </row>
    <row r="43" spans="2:41" s="848" customFormat="1" x14ac:dyDescent="0.25">
      <c r="B43" s="907"/>
      <c r="C43" s="907"/>
      <c r="F43" s="934"/>
      <c r="G43" s="934"/>
      <c r="H43" s="934"/>
      <c r="I43"/>
      <c r="J43"/>
      <c r="K43"/>
      <c r="L43"/>
      <c r="M43"/>
      <c r="N43"/>
      <c r="O43"/>
      <c r="P43"/>
      <c r="Q43"/>
      <c r="S43" s="938"/>
      <c r="T43" s="906"/>
      <c r="U43" s="905"/>
      <c r="V43" s="904"/>
      <c r="W43" s="904"/>
      <c r="AE43"/>
      <c r="AF43"/>
      <c r="AG43"/>
    </row>
    <row r="44" spans="2:41" s="848" customFormat="1" ht="15.75" thickBot="1" x14ac:dyDescent="0.3">
      <c r="G44" s="913"/>
      <c r="H44" s="913"/>
      <c r="I44"/>
      <c r="J44"/>
      <c r="K44"/>
      <c r="L44"/>
      <c r="M44"/>
      <c r="N44"/>
      <c r="O44"/>
      <c r="P44"/>
      <c r="Q44"/>
      <c r="U44" s="905"/>
      <c r="V44" s="904"/>
      <c r="W44" s="904"/>
    </row>
    <row r="45" spans="2:41" s="848" customFormat="1" x14ac:dyDescent="0.25">
      <c r="B45" s="945" t="s">
        <v>928</v>
      </c>
      <c r="C45" s="907">
        <v>1E-3</v>
      </c>
      <c r="D45" s="911"/>
      <c r="E45" s="934" t="s">
        <v>955</v>
      </c>
      <c r="F45" s="934"/>
      <c r="G45" s="913"/>
      <c r="H45" s="913"/>
      <c r="I45"/>
      <c r="J45" s="907" t="s">
        <v>929</v>
      </c>
      <c r="K45" s="907" t="s">
        <v>956</v>
      </c>
      <c r="O45" s="913"/>
      <c r="P45" s="913"/>
      <c r="Q45"/>
      <c r="S45" s="770" t="str">
        <f>_xlfn.CONCAT($B45," (",(TEXT(C45,".000")),E45," Increments)")</f>
        <v>Inch Libraries (.001" Increments)</v>
      </c>
      <c r="T45" s="770"/>
      <c r="U45" s="770"/>
      <c r="V45" s="770"/>
      <c r="W45" s="879"/>
      <c r="Y45" s="770" t="str">
        <f>_xlfn.CONCAT($J45," (",(TEXT(K45,".000"))," Increments)")</f>
        <v>Metric Libraries (.02mm Increments)</v>
      </c>
      <c r="Z45" s="770"/>
      <c r="AA45" s="770"/>
      <c r="AB45" s="770"/>
      <c r="AC45" s="879"/>
    </row>
    <row r="46" spans="2:41" s="848" customFormat="1" x14ac:dyDescent="0.25">
      <c r="G46" s="913"/>
      <c r="H46" s="913"/>
      <c r="I46"/>
      <c r="N46" s="934"/>
      <c r="O46"/>
      <c r="P46"/>
      <c r="Q46"/>
      <c r="S46" s="935" t="s">
        <v>639</v>
      </c>
      <c r="T46" s="929" t="s">
        <v>3</v>
      </c>
      <c r="U46" s="936" t="s">
        <v>11</v>
      </c>
      <c r="V46" s="929" t="s">
        <v>563</v>
      </c>
      <c r="W46" s="937" t="s">
        <v>569</v>
      </c>
      <c r="Y46" s="935" t="s">
        <v>639</v>
      </c>
      <c r="Z46" s="929" t="s">
        <v>3</v>
      </c>
      <c r="AA46" s="936" t="s">
        <v>11</v>
      </c>
      <c r="AB46" s="929" t="s">
        <v>563</v>
      </c>
      <c r="AC46" s="937" t="s">
        <v>569</v>
      </c>
    </row>
    <row r="47" spans="2:41" s="848" customFormat="1" x14ac:dyDescent="0.25">
      <c r="B47" s="907">
        <v>1.0999999999999999E-2</v>
      </c>
      <c r="C47" s="907">
        <v>0.625</v>
      </c>
      <c r="E47" s="848" t="str">
        <f t="shared" ref="E47:E74" si="85">LEFT(S47,LEN(S47)-1)</f>
        <v>LS</v>
      </c>
      <c r="F47" s="934"/>
      <c r="G47" s="946">
        <v>1.3</v>
      </c>
      <c r="H47" s="946">
        <v>1.7</v>
      </c>
      <c r="I47"/>
      <c r="J47" s="908">
        <v>1.52</v>
      </c>
      <c r="K47" s="908">
        <v>17.8</v>
      </c>
      <c r="M47" s="848" t="str">
        <f t="shared" ref="M47:M58" si="86">LEFT(Y47,LEN(Y47)-1)</f>
        <v>L10MM</v>
      </c>
      <c r="N47"/>
      <c r="O47" s="946">
        <v>1.5</v>
      </c>
      <c r="P47" s="946">
        <v>2</v>
      </c>
      <c r="Q47"/>
      <c r="S47" s="942" t="s">
        <v>168</v>
      </c>
      <c r="T47" s="921" t="str">
        <f t="shared" ref="T47:T74" si="87">_xlfn.CONCAT(TEXT($B47,"#.000#"),"""","  to  ",TEXT($C47,"#.000#"),"""")</f>
        <v>.011"  to  .625"</v>
      </c>
      <c r="U47" s="905">
        <v>615</v>
      </c>
      <c r="V47" s="925">
        <f t="shared" ref="V47:V74" si="88">MROUND(PRODUCT($G47,$U47),10)</f>
        <v>800</v>
      </c>
      <c r="W47" s="917">
        <f t="shared" ref="W47:W74" si="89">MROUND(PRODUCT($H47,$U47),10)</f>
        <v>1050</v>
      </c>
      <c r="Y47" s="942" t="s">
        <v>133</v>
      </c>
      <c r="Z47" s="921" t="str">
        <f t="shared" ref="Z47:Z58" si="90">_xlfn.CONCAT(TEXT($J47,"#.00"),"  to  ",TEXT($K47,"#.00"),"mm")</f>
        <v>1.52  to  17.80mm</v>
      </c>
      <c r="AA47" s="905">
        <v>815</v>
      </c>
      <c r="AB47" s="925">
        <f t="shared" ref="AB47:AB58" si="91">MROUND(PRODUCT($O47,$AA47),10)</f>
        <v>1220</v>
      </c>
      <c r="AC47" s="917">
        <f t="shared" ref="AC47:AC58" si="92">MROUND(PRODUCT($P47,$AA47),10)</f>
        <v>1630</v>
      </c>
      <c r="AE47" s="848" t="s">
        <v>1033</v>
      </c>
      <c r="AF47" s="464">
        <f t="shared" ref="AF47:AF74" si="93">$V47</f>
        <v>800</v>
      </c>
      <c r="AH47" s="848" t="s">
        <v>1034</v>
      </c>
      <c r="AI47" s="464">
        <f t="shared" ref="AI47:AI74" si="94">$W47</f>
        <v>1050</v>
      </c>
      <c r="AK47" s="848" t="s">
        <v>1061</v>
      </c>
      <c r="AL47" s="464">
        <f t="shared" ref="AL47:AL58" si="95">$AB47</f>
        <v>1220</v>
      </c>
      <c r="AN47" s="848" t="s">
        <v>1062</v>
      </c>
      <c r="AO47" s="464">
        <f t="shared" ref="AO47:AO58" si="96">$AC47</f>
        <v>1630</v>
      </c>
    </row>
    <row r="48" spans="2:41" s="848" customFormat="1" x14ac:dyDescent="0.25">
      <c r="B48" s="907">
        <v>1.0999999999999999E-2</v>
      </c>
      <c r="C48" s="907">
        <v>0.625</v>
      </c>
      <c r="E48" s="848" t="str">
        <f t="shared" si="85"/>
        <v>LS</v>
      </c>
      <c r="F48" s="934"/>
      <c r="G48" s="904">
        <f>G47</f>
        <v>1.3</v>
      </c>
      <c r="H48" s="904">
        <f>H47</f>
        <v>1.7</v>
      </c>
      <c r="I48"/>
      <c r="J48" s="908">
        <v>1.52</v>
      </c>
      <c r="K48" s="908">
        <v>17.8</v>
      </c>
      <c r="M48" s="848" t="str">
        <f t="shared" si="86"/>
        <v>L10MM</v>
      </c>
      <c r="N48"/>
      <c r="O48" s="904">
        <f>O47</f>
        <v>1.5</v>
      </c>
      <c r="P48" s="904">
        <f>P47</f>
        <v>2</v>
      </c>
      <c r="Q48"/>
      <c r="S48" s="942" t="s">
        <v>169</v>
      </c>
      <c r="T48" s="921" t="str">
        <f t="shared" si="87"/>
        <v>.011"  to  .625"</v>
      </c>
      <c r="U48" s="905">
        <v>615</v>
      </c>
      <c r="V48" s="925">
        <f t="shared" si="88"/>
        <v>800</v>
      </c>
      <c r="W48" s="917">
        <f t="shared" si="89"/>
        <v>1050</v>
      </c>
      <c r="Y48" s="942" t="s">
        <v>135</v>
      </c>
      <c r="Z48" s="921" t="str">
        <f t="shared" si="90"/>
        <v>1.52  to  17.80mm</v>
      </c>
      <c r="AA48" s="905">
        <v>815</v>
      </c>
      <c r="AB48" s="925">
        <f t="shared" si="91"/>
        <v>1220</v>
      </c>
      <c r="AC48" s="917">
        <f t="shared" si="92"/>
        <v>1630</v>
      </c>
      <c r="AE48" s="848" t="s">
        <v>1033</v>
      </c>
      <c r="AF48" s="464">
        <f t="shared" si="93"/>
        <v>800</v>
      </c>
      <c r="AH48" s="848" t="s">
        <v>1034</v>
      </c>
      <c r="AI48" s="464">
        <f t="shared" si="94"/>
        <v>1050</v>
      </c>
      <c r="AK48" s="848" t="s">
        <v>1061</v>
      </c>
      <c r="AL48" s="464">
        <f t="shared" si="95"/>
        <v>1220</v>
      </c>
      <c r="AN48" s="848" t="s">
        <v>1062</v>
      </c>
      <c r="AO48" s="464">
        <f t="shared" si="96"/>
        <v>1630</v>
      </c>
    </row>
    <row r="49" spans="2:41" s="848" customFormat="1" x14ac:dyDescent="0.25">
      <c r="B49" s="907">
        <v>1.15E-2</v>
      </c>
      <c r="C49" s="907">
        <v>0.62549999999999994</v>
      </c>
      <c r="E49" s="848" t="str">
        <f t="shared" si="85"/>
        <v>LS5</v>
      </c>
      <c r="F49" s="934"/>
      <c r="G49" s="904">
        <f t="shared" ref="G49:H64" si="97">G48</f>
        <v>1.3</v>
      </c>
      <c r="H49" s="904">
        <f t="shared" si="97"/>
        <v>1.7</v>
      </c>
      <c r="I49"/>
      <c r="J49" s="908">
        <v>1.53</v>
      </c>
      <c r="K49" s="908">
        <v>17.809999999999999</v>
      </c>
      <c r="M49" s="848" t="str">
        <f t="shared" si="86"/>
        <v>L11MM</v>
      </c>
      <c r="N49"/>
      <c r="O49" s="904">
        <f t="shared" ref="O49:P58" si="98">O48</f>
        <v>1.5</v>
      </c>
      <c r="P49" s="904">
        <f t="shared" si="98"/>
        <v>2</v>
      </c>
      <c r="Q49"/>
      <c r="S49" s="918" t="s">
        <v>170</v>
      </c>
      <c r="T49" s="922" t="str">
        <f t="shared" si="87"/>
        <v>.0115"  to  .6255"</v>
      </c>
      <c r="U49" s="915">
        <v>615</v>
      </c>
      <c r="V49" s="926">
        <f t="shared" si="88"/>
        <v>800</v>
      </c>
      <c r="W49" s="919">
        <f t="shared" si="89"/>
        <v>1050</v>
      </c>
      <c r="Y49" s="918" t="s">
        <v>137</v>
      </c>
      <c r="Z49" s="922" t="str">
        <f t="shared" si="90"/>
        <v>1.53  to  17.81mm</v>
      </c>
      <c r="AA49" s="915">
        <v>815</v>
      </c>
      <c r="AB49" s="926">
        <f t="shared" si="91"/>
        <v>1220</v>
      </c>
      <c r="AC49" s="919">
        <f t="shared" si="92"/>
        <v>1630</v>
      </c>
      <c r="AE49" s="848" t="s">
        <v>1035</v>
      </c>
      <c r="AF49" s="464">
        <f t="shared" si="93"/>
        <v>800</v>
      </c>
      <c r="AH49" s="848" t="s">
        <v>1036</v>
      </c>
      <c r="AI49" s="464">
        <f t="shared" si="94"/>
        <v>1050</v>
      </c>
      <c r="AK49" s="848" t="s">
        <v>1063</v>
      </c>
      <c r="AL49" s="464">
        <f t="shared" si="95"/>
        <v>1220</v>
      </c>
      <c r="AN49" s="848" t="s">
        <v>1064</v>
      </c>
      <c r="AO49" s="464">
        <f t="shared" si="96"/>
        <v>1630</v>
      </c>
    </row>
    <row r="50" spans="2:41" s="848" customFormat="1" x14ac:dyDescent="0.25">
      <c r="B50" s="907">
        <v>1.15E-2</v>
      </c>
      <c r="C50" s="907">
        <v>0.62549999999999994</v>
      </c>
      <c r="E50" s="848" t="str">
        <f t="shared" si="85"/>
        <v>LS5</v>
      </c>
      <c r="F50" s="934"/>
      <c r="G50" s="904">
        <f t="shared" si="97"/>
        <v>1.3</v>
      </c>
      <c r="H50" s="904">
        <f t="shared" si="97"/>
        <v>1.7</v>
      </c>
      <c r="I50"/>
      <c r="J50" s="908">
        <v>1.53</v>
      </c>
      <c r="K50" s="908">
        <v>17.809999999999999</v>
      </c>
      <c r="M50" s="848" t="str">
        <f t="shared" si="86"/>
        <v>L11MM</v>
      </c>
      <c r="N50"/>
      <c r="O50" s="904">
        <f t="shared" si="98"/>
        <v>1.5</v>
      </c>
      <c r="P50" s="904">
        <f t="shared" si="98"/>
        <v>2</v>
      </c>
      <c r="Q50"/>
      <c r="S50" s="940" t="s">
        <v>171</v>
      </c>
      <c r="T50" s="923" t="str">
        <f t="shared" si="87"/>
        <v>.0115"  to  .6255"</v>
      </c>
      <c r="U50" s="916">
        <v>615</v>
      </c>
      <c r="V50" s="927">
        <f t="shared" si="88"/>
        <v>800</v>
      </c>
      <c r="W50" s="246">
        <f t="shared" si="89"/>
        <v>1050</v>
      </c>
      <c r="Y50" s="940" t="s">
        <v>139</v>
      </c>
      <c r="Z50" s="923" t="str">
        <f t="shared" si="90"/>
        <v>1.53  to  17.81mm</v>
      </c>
      <c r="AA50" s="916">
        <v>815</v>
      </c>
      <c r="AB50" s="927">
        <f t="shared" si="91"/>
        <v>1220</v>
      </c>
      <c r="AC50" s="246">
        <f t="shared" si="92"/>
        <v>1630</v>
      </c>
      <c r="AE50" s="848" t="s">
        <v>1035</v>
      </c>
      <c r="AF50" s="464">
        <f t="shared" si="93"/>
        <v>800</v>
      </c>
      <c r="AH50" s="848" t="s">
        <v>1036</v>
      </c>
      <c r="AI50" s="464">
        <f t="shared" si="94"/>
        <v>1050</v>
      </c>
      <c r="AK50" s="848" t="s">
        <v>1063</v>
      </c>
      <c r="AL50" s="464">
        <f t="shared" si="95"/>
        <v>1220</v>
      </c>
      <c r="AN50" s="848" t="s">
        <v>1064</v>
      </c>
      <c r="AO50" s="464">
        <f t="shared" si="96"/>
        <v>1630</v>
      </c>
    </row>
    <row r="51" spans="2:41" s="848" customFormat="1" x14ac:dyDescent="0.25">
      <c r="B51" s="907">
        <v>1.0999999999999999E-2</v>
      </c>
      <c r="C51" s="907">
        <v>0.75</v>
      </c>
      <c r="E51" s="848" t="str">
        <f t="shared" si="85"/>
        <v>LC</v>
      </c>
      <c r="F51" s="934"/>
      <c r="G51" s="904">
        <f t="shared" si="97"/>
        <v>1.3</v>
      </c>
      <c r="H51" s="904">
        <f t="shared" si="97"/>
        <v>1.7</v>
      </c>
      <c r="I51"/>
      <c r="J51" s="908">
        <v>17.82</v>
      </c>
      <c r="K51" s="908">
        <v>25.4</v>
      </c>
      <c r="M51" s="848" t="str">
        <f t="shared" si="86"/>
        <v>L20MM</v>
      </c>
      <c r="N51"/>
      <c r="O51" s="904">
        <f t="shared" si="98"/>
        <v>1.5</v>
      </c>
      <c r="P51" s="904">
        <f t="shared" si="98"/>
        <v>2</v>
      </c>
      <c r="Q51"/>
      <c r="S51" s="942" t="s">
        <v>164</v>
      </c>
      <c r="T51" s="921" t="str">
        <f t="shared" si="87"/>
        <v>.011"  to  .750"</v>
      </c>
      <c r="U51" s="905">
        <v>740</v>
      </c>
      <c r="V51" s="925">
        <f t="shared" si="88"/>
        <v>960</v>
      </c>
      <c r="W51" s="917">
        <f t="shared" si="89"/>
        <v>1260</v>
      </c>
      <c r="Y51" s="942" t="s">
        <v>141</v>
      </c>
      <c r="Z51" s="921" t="str">
        <f t="shared" si="90"/>
        <v>17.82  to  25.40mm</v>
      </c>
      <c r="AA51" s="905">
        <v>380</v>
      </c>
      <c r="AB51" s="925">
        <f t="shared" si="91"/>
        <v>570</v>
      </c>
      <c r="AC51" s="917">
        <f t="shared" si="92"/>
        <v>760</v>
      </c>
      <c r="AE51" s="848" t="s">
        <v>1037</v>
      </c>
      <c r="AF51" s="464">
        <f t="shared" si="93"/>
        <v>960</v>
      </c>
      <c r="AH51" s="848" t="s">
        <v>1038</v>
      </c>
      <c r="AI51" s="464">
        <f t="shared" si="94"/>
        <v>1260</v>
      </c>
      <c r="AK51" s="848" t="s">
        <v>1065</v>
      </c>
      <c r="AL51" s="464">
        <f t="shared" si="95"/>
        <v>570</v>
      </c>
      <c r="AN51" s="848" t="s">
        <v>1066</v>
      </c>
      <c r="AO51" s="464">
        <f t="shared" si="96"/>
        <v>760</v>
      </c>
    </row>
    <row r="52" spans="2:41" s="848" customFormat="1" x14ac:dyDescent="0.25">
      <c r="B52" s="907">
        <v>1.0999999999999999E-2</v>
      </c>
      <c r="C52" s="907">
        <v>0.75</v>
      </c>
      <c r="E52" s="848" t="str">
        <f t="shared" si="85"/>
        <v>LC</v>
      </c>
      <c r="F52" s="934"/>
      <c r="G52" s="904">
        <f t="shared" si="97"/>
        <v>1.3</v>
      </c>
      <c r="H52" s="904">
        <f t="shared" si="97"/>
        <v>1.7</v>
      </c>
      <c r="I52"/>
      <c r="J52" s="908">
        <v>17.82</v>
      </c>
      <c r="K52" s="908">
        <v>25.4</v>
      </c>
      <c r="M52" s="848" t="str">
        <f t="shared" si="86"/>
        <v>L20MM</v>
      </c>
      <c r="N52"/>
      <c r="O52" s="904">
        <f t="shared" si="98"/>
        <v>1.5</v>
      </c>
      <c r="P52" s="904">
        <f t="shared" si="98"/>
        <v>2</v>
      </c>
      <c r="Q52"/>
      <c r="S52" s="942" t="s">
        <v>165</v>
      </c>
      <c r="T52" s="921" t="str">
        <f t="shared" si="87"/>
        <v>.011"  to  .750"</v>
      </c>
      <c r="U52" s="905">
        <v>740</v>
      </c>
      <c r="V52" s="925">
        <f t="shared" si="88"/>
        <v>960</v>
      </c>
      <c r="W52" s="917">
        <f t="shared" si="89"/>
        <v>1260</v>
      </c>
      <c r="Y52" s="942" t="s">
        <v>143</v>
      </c>
      <c r="Z52" s="921" t="str">
        <f t="shared" si="90"/>
        <v>17.82  to  25.40mm</v>
      </c>
      <c r="AA52" s="905">
        <v>380</v>
      </c>
      <c r="AB52" s="925">
        <f t="shared" si="91"/>
        <v>570</v>
      </c>
      <c r="AC52" s="917">
        <f t="shared" si="92"/>
        <v>760</v>
      </c>
      <c r="AE52" s="848" t="s">
        <v>1037</v>
      </c>
      <c r="AF52" s="464">
        <f t="shared" si="93"/>
        <v>960</v>
      </c>
      <c r="AH52" s="848" t="s">
        <v>1038</v>
      </c>
      <c r="AI52" s="464">
        <f t="shared" si="94"/>
        <v>1260</v>
      </c>
      <c r="AK52" s="848" t="s">
        <v>1065</v>
      </c>
      <c r="AL52" s="464">
        <f t="shared" si="95"/>
        <v>570</v>
      </c>
      <c r="AN52" s="848" t="s">
        <v>1066</v>
      </c>
      <c r="AO52" s="464">
        <f t="shared" si="96"/>
        <v>760</v>
      </c>
    </row>
    <row r="53" spans="2:41" s="848" customFormat="1" x14ac:dyDescent="0.25">
      <c r="B53" s="907">
        <v>1.15E-2</v>
      </c>
      <c r="C53" s="907">
        <v>0.75049999999999994</v>
      </c>
      <c r="E53" s="848" t="str">
        <f t="shared" si="85"/>
        <v>LC5</v>
      </c>
      <c r="F53" s="934"/>
      <c r="G53" s="904">
        <f t="shared" si="97"/>
        <v>1.3</v>
      </c>
      <c r="H53" s="904">
        <f t="shared" si="97"/>
        <v>1.7</v>
      </c>
      <c r="I53"/>
      <c r="J53" s="908">
        <v>17.829999999999998</v>
      </c>
      <c r="K53" s="908">
        <v>25.41</v>
      </c>
      <c r="M53" s="848" t="str">
        <f t="shared" si="86"/>
        <v>L21MM</v>
      </c>
      <c r="N53"/>
      <c r="O53" s="904">
        <f t="shared" si="98"/>
        <v>1.5</v>
      </c>
      <c r="P53" s="904">
        <f t="shared" si="98"/>
        <v>2</v>
      </c>
      <c r="Q53"/>
      <c r="S53" s="918" t="s">
        <v>166</v>
      </c>
      <c r="T53" s="922" t="str">
        <f t="shared" si="87"/>
        <v>.0115"  to  .7505"</v>
      </c>
      <c r="U53" s="915">
        <v>740</v>
      </c>
      <c r="V53" s="926">
        <f t="shared" si="88"/>
        <v>960</v>
      </c>
      <c r="W53" s="919">
        <f t="shared" si="89"/>
        <v>1260</v>
      </c>
      <c r="Y53" s="918" t="s">
        <v>145</v>
      </c>
      <c r="Z53" s="922" t="str">
        <f t="shared" si="90"/>
        <v>17.83  to  25.41mm</v>
      </c>
      <c r="AA53" s="915">
        <v>380</v>
      </c>
      <c r="AB53" s="926">
        <f t="shared" si="91"/>
        <v>570</v>
      </c>
      <c r="AC53" s="919">
        <f t="shared" si="92"/>
        <v>760</v>
      </c>
      <c r="AE53" s="848" t="s">
        <v>1039</v>
      </c>
      <c r="AF53" s="464">
        <f t="shared" si="93"/>
        <v>960</v>
      </c>
      <c r="AH53" s="848" t="s">
        <v>1040</v>
      </c>
      <c r="AI53" s="464">
        <f t="shared" si="94"/>
        <v>1260</v>
      </c>
      <c r="AK53" s="848" t="s">
        <v>1067</v>
      </c>
      <c r="AL53" s="464">
        <f t="shared" si="95"/>
        <v>570</v>
      </c>
      <c r="AN53" s="848" t="s">
        <v>1068</v>
      </c>
      <c r="AO53" s="464">
        <f t="shared" si="96"/>
        <v>760</v>
      </c>
    </row>
    <row r="54" spans="2:41" s="848" customFormat="1" x14ac:dyDescent="0.25">
      <c r="B54" s="907">
        <v>1.15E-2</v>
      </c>
      <c r="C54" s="907">
        <v>0.75049999999999994</v>
      </c>
      <c r="E54" s="848" t="str">
        <f t="shared" si="85"/>
        <v>LC5</v>
      </c>
      <c r="F54" s="934"/>
      <c r="G54" s="904">
        <f t="shared" si="97"/>
        <v>1.3</v>
      </c>
      <c r="H54" s="904">
        <f t="shared" si="97"/>
        <v>1.7</v>
      </c>
      <c r="I54"/>
      <c r="J54" s="908">
        <v>17.829999999999998</v>
      </c>
      <c r="K54" s="908">
        <v>25.41</v>
      </c>
      <c r="M54" s="848" t="str">
        <f t="shared" si="86"/>
        <v>L21MM</v>
      </c>
      <c r="N54"/>
      <c r="O54" s="904">
        <f t="shared" si="98"/>
        <v>1.5</v>
      </c>
      <c r="P54" s="904">
        <f t="shared" si="98"/>
        <v>2</v>
      </c>
      <c r="Q54"/>
      <c r="S54" s="940" t="s">
        <v>167</v>
      </c>
      <c r="T54" s="923" t="str">
        <f t="shared" si="87"/>
        <v>.0115"  to  .7505"</v>
      </c>
      <c r="U54" s="916">
        <v>740</v>
      </c>
      <c r="V54" s="927">
        <f t="shared" si="88"/>
        <v>960</v>
      </c>
      <c r="W54" s="246">
        <f t="shared" si="89"/>
        <v>1260</v>
      </c>
      <c r="Y54" s="940" t="s">
        <v>147</v>
      </c>
      <c r="Z54" s="923" t="str">
        <f t="shared" si="90"/>
        <v>17.83  to  25.41mm</v>
      </c>
      <c r="AA54" s="916">
        <v>380</v>
      </c>
      <c r="AB54" s="927">
        <f t="shared" si="91"/>
        <v>570</v>
      </c>
      <c r="AC54" s="246">
        <f t="shared" si="92"/>
        <v>760</v>
      </c>
      <c r="AE54" s="848" t="s">
        <v>1039</v>
      </c>
      <c r="AF54" s="464">
        <f t="shared" si="93"/>
        <v>960</v>
      </c>
      <c r="AH54" s="848" t="s">
        <v>1040</v>
      </c>
      <c r="AI54" s="464">
        <f t="shared" si="94"/>
        <v>1260</v>
      </c>
      <c r="AK54" s="848" t="s">
        <v>1067</v>
      </c>
      <c r="AL54" s="464">
        <f t="shared" si="95"/>
        <v>570</v>
      </c>
      <c r="AN54" s="848" t="s">
        <v>1068</v>
      </c>
      <c r="AO54" s="464">
        <f t="shared" si="96"/>
        <v>760</v>
      </c>
    </row>
    <row r="55" spans="2:41" s="848" customFormat="1" x14ac:dyDescent="0.25">
      <c r="B55" s="907">
        <v>6.0999999999999999E-2</v>
      </c>
      <c r="C55" s="907">
        <v>0.75</v>
      </c>
      <c r="E55" s="848" t="str">
        <f t="shared" si="85"/>
        <v>L1</v>
      </c>
      <c r="F55" s="934"/>
      <c r="G55" s="904">
        <f t="shared" si="97"/>
        <v>1.3</v>
      </c>
      <c r="H55" s="904">
        <f t="shared" si="97"/>
        <v>1.7</v>
      </c>
      <c r="I55"/>
      <c r="J55" s="908">
        <v>1.52</v>
      </c>
      <c r="K55" s="908">
        <v>25.4</v>
      </c>
      <c r="M55" s="848" t="str">
        <f t="shared" si="86"/>
        <v>L30MM</v>
      </c>
      <c r="N55"/>
      <c r="O55" s="904">
        <f t="shared" si="98"/>
        <v>1.5</v>
      </c>
      <c r="P55" s="904">
        <f t="shared" si="98"/>
        <v>2</v>
      </c>
      <c r="Q55"/>
      <c r="S55" s="942" t="s">
        <v>132</v>
      </c>
      <c r="T55" s="921" t="str">
        <f t="shared" si="87"/>
        <v>.061"  to  .750"</v>
      </c>
      <c r="U55" s="905">
        <v>690</v>
      </c>
      <c r="V55" s="925">
        <f t="shared" si="88"/>
        <v>900</v>
      </c>
      <c r="W55" s="917">
        <f t="shared" si="89"/>
        <v>1170</v>
      </c>
      <c r="Y55" s="942" t="s">
        <v>149</v>
      </c>
      <c r="Z55" s="921" t="str">
        <f t="shared" si="90"/>
        <v>1.52  to  25.40mm</v>
      </c>
      <c r="AA55" s="905">
        <v>1195</v>
      </c>
      <c r="AB55" s="925">
        <f t="shared" si="91"/>
        <v>1790</v>
      </c>
      <c r="AC55" s="917">
        <f t="shared" si="92"/>
        <v>2390</v>
      </c>
      <c r="AE55" s="848" t="s">
        <v>1041</v>
      </c>
      <c r="AF55" s="464">
        <f t="shared" si="93"/>
        <v>900</v>
      </c>
      <c r="AH55" s="848" t="s">
        <v>1042</v>
      </c>
      <c r="AI55" s="464">
        <f t="shared" si="94"/>
        <v>1170</v>
      </c>
      <c r="AK55" s="848" t="s">
        <v>1069</v>
      </c>
      <c r="AL55" s="464">
        <f t="shared" si="95"/>
        <v>1790</v>
      </c>
      <c r="AN55" s="848" t="s">
        <v>1070</v>
      </c>
      <c r="AO55" s="464">
        <f t="shared" si="96"/>
        <v>2390</v>
      </c>
    </row>
    <row r="56" spans="2:41" s="848" customFormat="1" x14ac:dyDescent="0.25">
      <c r="B56" s="907">
        <v>6.0999999999999999E-2</v>
      </c>
      <c r="C56" s="907">
        <v>0.75</v>
      </c>
      <c r="E56" s="848" t="str">
        <f t="shared" si="85"/>
        <v>L1</v>
      </c>
      <c r="F56" s="934"/>
      <c r="G56" s="904">
        <f t="shared" si="97"/>
        <v>1.3</v>
      </c>
      <c r="H56" s="904">
        <f t="shared" si="97"/>
        <v>1.7</v>
      </c>
      <c r="I56"/>
      <c r="J56" s="908">
        <v>1.52</v>
      </c>
      <c r="K56" s="908">
        <v>25.4</v>
      </c>
      <c r="M56" s="848" t="str">
        <f t="shared" si="86"/>
        <v>L30MM</v>
      </c>
      <c r="N56"/>
      <c r="O56" s="904">
        <f t="shared" si="98"/>
        <v>1.5</v>
      </c>
      <c r="P56" s="904">
        <f t="shared" si="98"/>
        <v>2</v>
      </c>
      <c r="Q56"/>
      <c r="S56" s="942" t="s">
        <v>134</v>
      </c>
      <c r="T56" s="921" t="str">
        <f t="shared" si="87"/>
        <v>.061"  to  .750"</v>
      </c>
      <c r="U56" s="905">
        <v>690</v>
      </c>
      <c r="V56" s="925">
        <f t="shared" si="88"/>
        <v>900</v>
      </c>
      <c r="W56" s="917">
        <f t="shared" si="89"/>
        <v>1170</v>
      </c>
      <c r="Y56" s="942" t="s">
        <v>151</v>
      </c>
      <c r="Z56" s="921" t="str">
        <f t="shared" si="90"/>
        <v>1.52  to  25.40mm</v>
      </c>
      <c r="AA56" s="905">
        <v>1195</v>
      </c>
      <c r="AB56" s="925">
        <f t="shared" si="91"/>
        <v>1790</v>
      </c>
      <c r="AC56" s="917">
        <f t="shared" si="92"/>
        <v>2390</v>
      </c>
      <c r="AE56" s="848" t="s">
        <v>1041</v>
      </c>
      <c r="AF56" s="464">
        <f t="shared" si="93"/>
        <v>900</v>
      </c>
      <c r="AH56" s="848" t="s">
        <v>1042</v>
      </c>
      <c r="AI56" s="464">
        <f t="shared" si="94"/>
        <v>1170</v>
      </c>
      <c r="AK56" s="848" t="s">
        <v>1069</v>
      </c>
      <c r="AL56" s="464">
        <f t="shared" si="95"/>
        <v>1790</v>
      </c>
      <c r="AN56" s="848" t="s">
        <v>1070</v>
      </c>
      <c r="AO56" s="464">
        <f t="shared" si="96"/>
        <v>2390</v>
      </c>
    </row>
    <row r="57" spans="2:41" s="848" customFormat="1" x14ac:dyDescent="0.25">
      <c r="B57" s="907">
        <v>6.1499999999999999E-2</v>
      </c>
      <c r="C57" s="907">
        <v>0.75049999999999994</v>
      </c>
      <c r="E57" s="848" t="str">
        <f t="shared" si="85"/>
        <v>L15</v>
      </c>
      <c r="F57" s="934"/>
      <c r="G57" s="904">
        <f t="shared" si="97"/>
        <v>1.3</v>
      </c>
      <c r="H57" s="904">
        <f t="shared" si="97"/>
        <v>1.7</v>
      </c>
      <c r="I57"/>
      <c r="J57" s="908">
        <v>1.53</v>
      </c>
      <c r="K57" s="908">
        <v>25.41</v>
      </c>
      <c r="M57" s="848" t="str">
        <f t="shared" si="86"/>
        <v>L31MM</v>
      </c>
      <c r="N57"/>
      <c r="O57" s="904">
        <f t="shared" si="98"/>
        <v>1.5</v>
      </c>
      <c r="P57" s="904">
        <f t="shared" si="98"/>
        <v>2</v>
      </c>
      <c r="Q57"/>
      <c r="S57" s="918" t="s">
        <v>136</v>
      </c>
      <c r="T57" s="922" t="str">
        <f t="shared" si="87"/>
        <v>.0615"  to  .7505"</v>
      </c>
      <c r="U57" s="915">
        <v>690</v>
      </c>
      <c r="V57" s="926">
        <f t="shared" si="88"/>
        <v>900</v>
      </c>
      <c r="W57" s="919">
        <f t="shared" si="89"/>
        <v>1170</v>
      </c>
      <c r="Y57" s="918" t="s">
        <v>153</v>
      </c>
      <c r="Z57" s="922" t="str">
        <f t="shared" si="90"/>
        <v>1.53  to  25.41mm</v>
      </c>
      <c r="AA57" s="915">
        <v>1195</v>
      </c>
      <c r="AB57" s="926">
        <f t="shared" si="91"/>
        <v>1790</v>
      </c>
      <c r="AC57" s="919">
        <f t="shared" si="92"/>
        <v>2390</v>
      </c>
      <c r="AE57" s="848" t="s">
        <v>1043</v>
      </c>
      <c r="AF57" s="464">
        <f t="shared" si="93"/>
        <v>900</v>
      </c>
      <c r="AH57" s="848" t="s">
        <v>1044</v>
      </c>
      <c r="AI57" s="464">
        <f t="shared" si="94"/>
        <v>1170</v>
      </c>
      <c r="AK57" s="848" t="s">
        <v>1071</v>
      </c>
      <c r="AL57" s="464">
        <f t="shared" si="95"/>
        <v>1790</v>
      </c>
      <c r="AN57" s="848" t="s">
        <v>1072</v>
      </c>
      <c r="AO57" s="464">
        <f t="shared" si="96"/>
        <v>2390</v>
      </c>
    </row>
    <row r="58" spans="2:41" s="848" customFormat="1" ht="15.75" thickBot="1" x14ac:dyDescent="0.3">
      <c r="B58" s="907">
        <v>6.1499999999999999E-2</v>
      </c>
      <c r="C58" s="907">
        <v>0.75049999999999994</v>
      </c>
      <c r="E58" s="848" t="str">
        <f t="shared" si="85"/>
        <v>L15</v>
      </c>
      <c r="F58" s="934"/>
      <c r="G58" s="904">
        <f t="shared" si="97"/>
        <v>1.3</v>
      </c>
      <c r="H58" s="904">
        <f t="shared" si="97"/>
        <v>1.7</v>
      </c>
      <c r="I58"/>
      <c r="J58" s="908">
        <v>1.53</v>
      </c>
      <c r="K58" s="908">
        <v>25.41</v>
      </c>
      <c r="M58" s="848" t="str">
        <f t="shared" si="86"/>
        <v>L31MM</v>
      </c>
      <c r="N58"/>
      <c r="O58" s="904">
        <f t="shared" si="98"/>
        <v>1.5</v>
      </c>
      <c r="P58" s="904">
        <f t="shared" si="98"/>
        <v>2</v>
      </c>
      <c r="Q58"/>
      <c r="S58" s="940" t="s">
        <v>138</v>
      </c>
      <c r="T58" s="923" t="str">
        <f t="shared" si="87"/>
        <v>.0615"  to  .7505"</v>
      </c>
      <c r="U58" s="916">
        <v>690</v>
      </c>
      <c r="V58" s="927">
        <f t="shared" si="88"/>
        <v>900</v>
      </c>
      <c r="W58" s="246">
        <f t="shared" si="89"/>
        <v>1170</v>
      </c>
      <c r="Y58" s="941" t="s">
        <v>155</v>
      </c>
      <c r="Z58" s="924" t="str">
        <f t="shared" si="90"/>
        <v>1.53  to  25.41mm</v>
      </c>
      <c r="AA58" s="920">
        <v>1195</v>
      </c>
      <c r="AB58" s="928">
        <f t="shared" si="91"/>
        <v>1790</v>
      </c>
      <c r="AC58" s="249">
        <f t="shared" si="92"/>
        <v>2390</v>
      </c>
      <c r="AE58" s="848" t="s">
        <v>1043</v>
      </c>
      <c r="AF58" s="464">
        <f t="shared" si="93"/>
        <v>900</v>
      </c>
      <c r="AH58" s="848" t="s">
        <v>1044</v>
      </c>
      <c r="AI58" s="464">
        <f t="shared" si="94"/>
        <v>1170</v>
      </c>
      <c r="AK58" s="848" t="s">
        <v>1071</v>
      </c>
      <c r="AL58" s="464">
        <f t="shared" si="95"/>
        <v>1790</v>
      </c>
      <c r="AN58" s="848" t="s">
        <v>1072</v>
      </c>
      <c r="AO58" s="464">
        <f t="shared" si="96"/>
        <v>2390</v>
      </c>
    </row>
    <row r="59" spans="2:41" s="848" customFormat="1" x14ac:dyDescent="0.25">
      <c r="B59" s="907">
        <v>1.0999999999999999E-2</v>
      </c>
      <c r="C59" s="907">
        <v>0.50049999999999994</v>
      </c>
      <c r="E59" s="848" t="str">
        <f t="shared" si="85"/>
        <v>L2C</v>
      </c>
      <c r="F59" s="934"/>
      <c r="G59" s="904">
        <f t="shared" si="97"/>
        <v>1.3</v>
      </c>
      <c r="H59" s="904">
        <f t="shared" si="97"/>
        <v>1.7</v>
      </c>
      <c r="I59"/>
      <c r="J59"/>
      <c r="K59"/>
      <c r="L59"/>
      <c r="M59"/>
      <c r="N59"/>
      <c r="O59"/>
      <c r="P59"/>
      <c r="Q59"/>
      <c r="S59" s="942" t="s">
        <v>144</v>
      </c>
      <c r="T59" s="930" t="str">
        <f t="shared" si="87"/>
        <v>.011"  to  .5005"</v>
      </c>
      <c r="U59" s="905">
        <v>980</v>
      </c>
      <c r="V59" s="932">
        <f t="shared" si="88"/>
        <v>1270</v>
      </c>
      <c r="W59" s="917">
        <f t="shared" si="89"/>
        <v>1670</v>
      </c>
      <c r="AE59" s="848" t="s">
        <v>1045</v>
      </c>
      <c r="AF59" s="464">
        <f t="shared" si="93"/>
        <v>1270</v>
      </c>
      <c r="AH59" s="848" t="s">
        <v>1046</v>
      </c>
      <c r="AI59" s="464">
        <f t="shared" si="94"/>
        <v>1670</v>
      </c>
    </row>
    <row r="60" spans="2:41" s="848" customFormat="1" x14ac:dyDescent="0.25">
      <c r="B60" s="907">
        <v>1.0999999999999999E-2</v>
      </c>
      <c r="C60" s="907">
        <v>0.50049999999999994</v>
      </c>
      <c r="E60" s="848" t="str">
        <f t="shared" si="85"/>
        <v>L2C</v>
      </c>
      <c r="F60" s="934"/>
      <c r="G60" s="904">
        <f t="shared" si="97"/>
        <v>1.3</v>
      </c>
      <c r="H60" s="904">
        <f t="shared" si="97"/>
        <v>1.7</v>
      </c>
      <c r="I60"/>
      <c r="J60"/>
      <c r="K60"/>
      <c r="L60"/>
      <c r="M60"/>
      <c r="N60"/>
      <c r="O60"/>
      <c r="P60"/>
      <c r="Q60"/>
      <c r="S60" s="942" t="s">
        <v>146</v>
      </c>
      <c r="T60" s="931" t="str">
        <f t="shared" si="87"/>
        <v>.011"  to  .5005"</v>
      </c>
      <c r="U60" s="905">
        <v>980</v>
      </c>
      <c r="V60" s="933">
        <f t="shared" si="88"/>
        <v>1270</v>
      </c>
      <c r="W60" s="917">
        <f t="shared" si="89"/>
        <v>1670</v>
      </c>
      <c r="AE60" s="848" t="s">
        <v>1045</v>
      </c>
      <c r="AF60" s="464">
        <f t="shared" si="93"/>
        <v>1270</v>
      </c>
      <c r="AH60" s="848" t="s">
        <v>1046</v>
      </c>
      <c r="AI60" s="464">
        <f t="shared" si="94"/>
        <v>1670</v>
      </c>
    </row>
    <row r="61" spans="2:41" s="848" customFormat="1" x14ac:dyDescent="0.25">
      <c r="B61" s="907">
        <v>6.0999999999999999E-2</v>
      </c>
      <c r="C61" s="907">
        <v>0.50049999999999994</v>
      </c>
      <c r="E61" s="848" t="str">
        <f t="shared" si="85"/>
        <v>L2</v>
      </c>
      <c r="F61" s="934"/>
      <c r="G61" s="904">
        <f t="shared" si="97"/>
        <v>1.3</v>
      </c>
      <c r="H61" s="904">
        <f t="shared" si="97"/>
        <v>1.7</v>
      </c>
      <c r="I61"/>
      <c r="J61"/>
      <c r="K61"/>
      <c r="L61"/>
      <c r="M61"/>
      <c r="N61"/>
      <c r="O61"/>
      <c r="P61"/>
      <c r="Q61"/>
      <c r="S61" s="918" t="s">
        <v>140</v>
      </c>
      <c r="T61" s="922" t="str">
        <f t="shared" si="87"/>
        <v>.061"  to  .5005"</v>
      </c>
      <c r="U61" s="915">
        <v>880</v>
      </c>
      <c r="V61" s="926">
        <f t="shared" si="88"/>
        <v>1140</v>
      </c>
      <c r="W61" s="919">
        <f t="shared" si="89"/>
        <v>1500</v>
      </c>
      <c r="AE61" s="848" t="s">
        <v>1047</v>
      </c>
      <c r="AF61" s="464">
        <f t="shared" si="93"/>
        <v>1140</v>
      </c>
      <c r="AH61" s="848" t="s">
        <v>1048</v>
      </c>
      <c r="AI61" s="464">
        <f t="shared" si="94"/>
        <v>1500</v>
      </c>
    </row>
    <row r="62" spans="2:41" s="848" customFormat="1" x14ac:dyDescent="0.25">
      <c r="B62" s="907">
        <v>6.0999999999999999E-2</v>
      </c>
      <c r="C62" s="907">
        <v>0.50049999999999994</v>
      </c>
      <c r="E62" s="848" t="str">
        <f t="shared" si="85"/>
        <v>L2</v>
      </c>
      <c r="F62" s="934"/>
      <c r="G62" s="904">
        <f t="shared" si="97"/>
        <v>1.3</v>
      </c>
      <c r="H62" s="904">
        <f t="shared" si="97"/>
        <v>1.7</v>
      </c>
      <c r="I62"/>
      <c r="J62"/>
      <c r="K62"/>
      <c r="L62"/>
      <c r="M62"/>
      <c r="N62"/>
      <c r="O62"/>
      <c r="P62"/>
      <c r="Q62"/>
      <c r="S62" s="940" t="s">
        <v>142</v>
      </c>
      <c r="T62" s="923" t="str">
        <f t="shared" si="87"/>
        <v>.061"  to  .5005"</v>
      </c>
      <c r="U62" s="916">
        <v>880</v>
      </c>
      <c r="V62" s="927">
        <f t="shared" si="88"/>
        <v>1140</v>
      </c>
      <c r="W62" s="246">
        <f t="shared" si="89"/>
        <v>1500</v>
      </c>
      <c r="AE62" s="848" t="s">
        <v>1047</v>
      </c>
      <c r="AF62" s="464">
        <f t="shared" si="93"/>
        <v>1140</v>
      </c>
      <c r="AH62" s="848" t="s">
        <v>1048</v>
      </c>
      <c r="AI62" s="464">
        <f t="shared" si="94"/>
        <v>1500</v>
      </c>
    </row>
    <row r="63" spans="2:41" s="848" customFormat="1" x14ac:dyDescent="0.25">
      <c r="B63" s="907">
        <v>6.0999999999999999E-2</v>
      </c>
      <c r="C63" s="907">
        <v>1</v>
      </c>
      <c r="E63" s="848" t="str">
        <f t="shared" si="85"/>
        <v>L3</v>
      </c>
      <c r="F63" s="934"/>
      <c r="G63" s="904">
        <f t="shared" si="97"/>
        <v>1.3</v>
      </c>
      <c r="H63" s="904">
        <f t="shared" si="97"/>
        <v>1.7</v>
      </c>
      <c r="I63"/>
      <c r="J63"/>
      <c r="K63"/>
      <c r="L63"/>
      <c r="M63"/>
      <c r="N63"/>
      <c r="O63"/>
      <c r="P63"/>
      <c r="Q63"/>
      <c r="S63" s="942" t="s">
        <v>148</v>
      </c>
      <c r="T63" s="921" t="str">
        <f t="shared" si="87"/>
        <v>.061"  to  1.000"</v>
      </c>
      <c r="U63" s="905">
        <v>940</v>
      </c>
      <c r="V63" s="925">
        <f t="shared" si="88"/>
        <v>1220</v>
      </c>
      <c r="W63" s="917">
        <f t="shared" si="89"/>
        <v>1600</v>
      </c>
      <c r="AE63" s="848" t="s">
        <v>1049</v>
      </c>
      <c r="AF63" s="464">
        <f t="shared" si="93"/>
        <v>1220</v>
      </c>
      <c r="AH63" s="848" t="s">
        <v>1050</v>
      </c>
      <c r="AI63" s="464">
        <f t="shared" si="94"/>
        <v>1600</v>
      </c>
    </row>
    <row r="64" spans="2:41" s="848" customFormat="1" x14ac:dyDescent="0.25">
      <c r="B64" s="907">
        <v>6.0999999999999999E-2</v>
      </c>
      <c r="C64" s="907">
        <v>1</v>
      </c>
      <c r="E64" s="848" t="str">
        <f t="shared" si="85"/>
        <v>L3</v>
      </c>
      <c r="F64" s="934"/>
      <c r="G64" s="904">
        <f t="shared" si="97"/>
        <v>1.3</v>
      </c>
      <c r="H64" s="904">
        <f t="shared" si="97"/>
        <v>1.7</v>
      </c>
      <c r="I64"/>
      <c r="J64"/>
      <c r="K64"/>
      <c r="L64"/>
      <c r="M64"/>
      <c r="N64"/>
      <c r="O64"/>
      <c r="P64"/>
      <c r="Q64"/>
      <c r="S64" s="942" t="s">
        <v>150</v>
      </c>
      <c r="T64" s="921" t="str">
        <f t="shared" si="87"/>
        <v>.061"  to  1.000"</v>
      </c>
      <c r="U64" s="905">
        <v>940</v>
      </c>
      <c r="V64" s="925">
        <f t="shared" si="88"/>
        <v>1220</v>
      </c>
      <c r="W64" s="917">
        <f t="shared" si="89"/>
        <v>1600</v>
      </c>
      <c r="AE64" s="848" t="s">
        <v>1049</v>
      </c>
      <c r="AF64" s="464">
        <f t="shared" si="93"/>
        <v>1220</v>
      </c>
      <c r="AH64" s="848" t="s">
        <v>1050</v>
      </c>
      <c r="AI64" s="464">
        <f t="shared" si="94"/>
        <v>1600</v>
      </c>
    </row>
    <row r="65" spans="2:35" s="848" customFormat="1" x14ac:dyDescent="0.25">
      <c r="B65" s="907">
        <v>6.1499999999999999E-2</v>
      </c>
      <c r="C65" s="907">
        <v>1.0004999999999999</v>
      </c>
      <c r="E65" s="848" t="str">
        <f t="shared" si="85"/>
        <v>L35</v>
      </c>
      <c r="F65" s="934"/>
      <c r="G65" s="904">
        <f t="shared" ref="G65:H74" si="99">G64</f>
        <v>1.3</v>
      </c>
      <c r="H65" s="904">
        <f t="shared" si="99"/>
        <v>1.7</v>
      </c>
      <c r="I65"/>
      <c r="J65"/>
      <c r="K65"/>
      <c r="L65"/>
      <c r="M65"/>
      <c r="N65"/>
      <c r="O65"/>
      <c r="P65"/>
      <c r="Q65"/>
      <c r="S65" s="918" t="s">
        <v>152</v>
      </c>
      <c r="T65" s="922" t="str">
        <f t="shared" si="87"/>
        <v>.0615"  to  1.0005"</v>
      </c>
      <c r="U65" s="915">
        <v>940</v>
      </c>
      <c r="V65" s="926">
        <f t="shared" si="88"/>
        <v>1220</v>
      </c>
      <c r="W65" s="919">
        <f t="shared" si="89"/>
        <v>1600</v>
      </c>
      <c r="AE65" s="848" t="s">
        <v>1051</v>
      </c>
      <c r="AF65" s="464">
        <f t="shared" si="93"/>
        <v>1220</v>
      </c>
      <c r="AH65" s="848" t="s">
        <v>1052</v>
      </c>
      <c r="AI65" s="464">
        <f t="shared" si="94"/>
        <v>1600</v>
      </c>
    </row>
    <row r="66" spans="2:35" s="848" customFormat="1" x14ac:dyDescent="0.25">
      <c r="B66" s="907">
        <v>6.1499999999999999E-2</v>
      </c>
      <c r="C66" s="907">
        <v>1.0004999999999999</v>
      </c>
      <c r="E66" s="848" t="str">
        <f t="shared" si="85"/>
        <v>L35</v>
      </c>
      <c r="F66" s="934"/>
      <c r="G66" s="904">
        <f t="shared" si="99"/>
        <v>1.3</v>
      </c>
      <c r="H66" s="904">
        <f t="shared" si="99"/>
        <v>1.7</v>
      </c>
      <c r="I66"/>
      <c r="J66"/>
      <c r="K66"/>
      <c r="L66"/>
      <c r="M66"/>
      <c r="N66"/>
      <c r="O66"/>
      <c r="P66"/>
      <c r="Q66"/>
      <c r="S66" s="940" t="s">
        <v>154</v>
      </c>
      <c r="T66" s="923" t="str">
        <f t="shared" si="87"/>
        <v>.0615"  to  1.0005"</v>
      </c>
      <c r="U66" s="916">
        <v>940</v>
      </c>
      <c r="V66" s="927">
        <f t="shared" si="88"/>
        <v>1220</v>
      </c>
      <c r="W66" s="246">
        <f t="shared" si="89"/>
        <v>1600</v>
      </c>
      <c r="AE66" s="848" t="s">
        <v>1051</v>
      </c>
      <c r="AF66" s="464">
        <f t="shared" si="93"/>
        <v>1220</v>
      </c>
      <c r="AH66" s="848" t="s">
        <v>1052</v>
      </c>
      <c r="AI66" s="464">
        <f t="shared" si="94"/>
        <v>1600</v>
      </c>
    </row>
    <row r="67" spans="2:35" s="848" customFormat="1" x14ac:dyDescent="0.25">
      <c r="B67" s="907">
        <v>1.0999999999999999E-2</v>
      </c>
      <c r="C67" s="907">
        <v>1</v>
      </c>
      <c r="E67" s="848" t="str">
        <f t="shared" si="85"/>
        <v>L4</v>
      </c>
      <c r="F67" s="934"/>
      <c r="G67" s="904">
        <f t="shared" si="99"/>
        <v>1.3</v>
      </c>
      <c r="H67" s="904">
        <f t="shared" si="99"/>
        <v>1.7</v>
      </c>
      <c r="I67"/>
      <c r="J67"/>
      <c r="K67"/>
      <c r="L67"/>
      <c r="M67"/>
      <c r="N67"/>
      <c r="O67"/>
      <c r="P67"/>
      <c r="Q67"/>
      <c r="S67" s="942" t="s">
        <v>156</v>
      </c>
      <c r="T67" s="921" t="str">
        <f t="shared" si="87"/>
        <v>.011"  to  1.000"</v>
      </c>
      <c r="U67" s="905">
        <v>990</v>
      </c>
      <c r="V67" s="925">
        <f t="shared" si="88"/>
        <v>1290</v>
      </c>
      <c r="W67" s="917">
        <f t="shared" si="89"/>
        <v>1680</v>
      </c>
      <c r="AE67" s="848" t="s">
        <v>1053</v>
      </c>
      <c r="AF67" s="464">
        <f t="shared" si="93"/>
        <v>1290</v>
      </c>
      <c r="AH67" s="848" t="s">
        <v>1054</v>
      </c>
      <c r="AI67" s="464">
        <f t="shared" si="94"/>
        <v>1680</v>
      </c>
    </row>
    <row r="68" spans="2:35" s="848" customFormat="1" x14ac:dyDescent="0.25">
      <c r="B68" s="907">
        <v>1.0999999999999999E-2</v>
      </c>
      <c r="C68" s="907">
        <v>1</v>
      </c>
      <c r="E68" s="848" t="str">
        <f t="shared" si="85"/>
        <v>L4</v>
      </c>
      <c r="F68" s="934"/>
      <c r="G68" s="904">
        <f t="shared" si="99"/>
        <v>1.3</v>
      </c>
      <c r="H68" s="904">
        <f t="shared" si="99"/>
        <v>1.7</v>
      </c>
      <c r="I68"/>
      <c r="J68"/>
      <c r="K68"/>
      <c r="L68"/>
      <c r="M68"/>
      <c r="N68"/>
      <c r="O68"/>
      <c r="P68"/>
      <c r="Q68"/>
      <c r="S68" s="942" t="s">
        <v>157</v>
      </c>
      <c r="T68" s="921" t="str">
        <f t="shared" si="87"/>
        <v>.011"  to  1.000"</v>
      </c>
      <c r="U68" s="905">
        <v>990</v>
      </c>
      <c r="V68" s="925">
        <f t="shared" si="88"/>
        <v>1290</v>
      </c>
      <c r="W68" s="917">
        <f t="shared" si="89"/>
        <v>1680</v>
      </c>
      <c r="AE68" s="848" t="s">
        <v>1053</v>
      </c>
      <c r="AF68" s="464">
        <f t="shared" si="93"/>
        <v>1290</v>
      </c>
      <c r="AH68" s="848" t="s">
        <v>1054</v>
      </c>
      <c r="AI68" s="464">
        <f t="shared" si="94"/>
        <v>1680</v>
      </c>
    </row>
    <row r="69" spans="2:35" s="848" customFormat="1" x14ac:dyDescent="0.25">
      <c r="B69" s="907">
        <v>1.15E-2</v>
      </c>
      <c r="C69" s="907">
        <v>1.0004999999999999</v>
      </c>
      <c r="E69" s="848" t="str">
        <f t="shared" si="85"/>
        <v>L45</v>
      </c>
      <c r="F69" s="934"/>
      <c r="G69" s="904">
        <f t="shared" si="99"/>
        <v>1.3</v>
      </c>
      <c r="H69" s="904">
        <f t="shared" si="99"/>
        <v>1.7</v>
      </c>
      <c r="I69"/>
      <c r="J69"/>
      <c r="K69"/>
      <c r="L69"/>
      <c r="M69"/>
      <c r="N69"/>
      <c r="O69"/>
      <c r="P69"/>
      <c r="Q69"/>
      <c r="S69" s="918" t="s">
        <v>158</v>
      </c>
      <c r="T69" s="922" t="str">
        <f t="shared" si="87"/>
        <v>.0115"  to  1.0005"</v>
      </c>
      <c r="U69" s="915">
        <v>990</v>
      </c>
      <c r="V69" s="926">
        <f t="shared" si="88"/>
        <v>1290</v>
      </c>
      <c r="W69" s="919">
        <f t="shared" si="89"/>
        <v>1680</v>
      </c>
      <c r="AE69" s="848" t="s">
        <v>1055</v>
      </c>
      <c r="AF69" s="464">
        <f t="shared" si="93"/>
        <v>1290</v>
      </c>
      <c r="AH69" s="848" t="s">
        <v>1056</v>
      </c>
      <c r="AI69" s="464">
        <f t="shared" si="94"/>
        <v>1680</v>
      </c>
    </row>
    <row r="70" spans="2:35" s="848" customFormat="1" x14ac:dyDescent="0.25">
      <c r="B70" s="907">
        <v>1.15E-2</v>
      </c>
      <c r="C70" s="907">
        <v>1.0004999999999999</v>
      </c>
      <c r="E70" s="848" t="str">
        <f t="shared" si="85"/>
        <v>L45</v>
      </c>
      <c r="F70" s="934"/>
      <c r="G70" s="904">
        <f t="shared" si="99"/>
        <v>1.3</v>
      </c>
      <c r="H70" s="904">
        <f t="shared" si="99"/>
        <v>1.7</v>
      </c>
      <c r="I70"/>
      <c r="J70"/>
      <c r="K70"/>
      <c r="L70"/>
      <c r="M70"/>
      <c r="N70"/>
      <c r="O70"/>
      <c r="P70"/>
      <c r="Q70"/>
      <c r="S70" s="940" t="s">
        <v>159</v>
      </c>
      <c r="T70" s="923" t="str">
        <f t="shared" si="87"/>
        <v>.0115"  to  1.0005"</v>
      </c>
      <c r="U70" s="916">
        <v>990</v>
      </c>
      <c r="V70" s="927">
        <f t="shared" si="88"/>
        <v>1290</v>
      </c>
      <c r="W70" s="246">
        <f t="shared" si="89"/>
        <v>1680</v>
      </c>
      <c r="AE70" s="848" t="s">
        <v>1055</v>
      </c>
      <c r="AF70" s="464">
        <f t="shared" si="93"/>
        <v>1290</v>
      </c>
      <c r="AH70" s="848" t="s">
        <v>1056</v>
      </c>
      <c r="AI70" s="464">
        <f t="shared" si="94"/>
        <v>1680</v>
      </c>
    </row>
    <row r="71" spans="2:35" s="848" customFormat="1" x14ac:dyDescent="0.25">
      <c r="B71" s="907">
        <v>0.751</v>
      </c>
      <c r="C71" s="907">
        <v>1</v>
      </c>
      <c r="E71" s="848" t="str">
        <f t="shared" si="85"/>
        <v>L5</v>
      </c>
      <c r="F71" s="934"/>
      <c r="G71" s="904">
        <f t="shared" si="99"/>
        <v>1.3</v>
      </c>
      <c r="H71" s="904">
        <f t="shared" si="99"/>
        <v>1.7</v>
      </c>
      <c r="I71"/>
      <c r="J71"/>
      <c r="K71"/>
      <c r="L71"/>
      <c r="M71"/>
      <c r="N71"/>
      <c r="O71"/>
      <c r="P71"/>
      <c r="Q71"/>
      <c r="S71" s="942" t="s">
        <v>160</v>
      </c>
      <c r="T71" s="921" t="str">
        <f t="shared" si="87"/>
        <v>.751"  to  1.000"</v>
      </c>
      <c r="U71" s="905">
        <v>250</v>
      </c>
      <c r="V71" s="925">
        <f t="shared" si="88"/>
        <v>330</v>
      </c>
      <c r="W71" s="917">
        <f t="shared" si="89"/>
        <v>430</v>
      </c>
      <c r="AE71" s="848" t="s">
        <v>1057</v>
      </c>
      <c r="AF71" s="464">
        <f t="shared" si="93"/>
        <v>330</v>
      </c>
      <c r="AH71" s="848" t="s">
        <v>1058</v>
      </c>
      <c r="AI71" s="464">
        <f t="shared" si="94"/>
        <v>430</v>
      </c>
    </row>
    <row r="72" spans="2:35" s="848" customFormat="1" x14ac:dyDescent="0.25">
      <c r="B72" s="907">
        <v>0.751</v>
      </c>
      <c r="C72" s="907">
        <v>1</v>
      </c>
      <c r="E72" s="848" t="str">
        <f t="shared" si="85"/>
        <v>L5</v>
      </c>
      <c r="F72" s="934"/>
      <c r="G72" s="904">
        <f t="shared" si="99"/>
        <v>1.3</v>
      </c>
      <c r="H72" s="904">
        <f t="shared" si="99"/>
        <v>1.7</v>
      </c>
      <c r="I72"/>
      <c r="J72"/>
      <c r="K72"/>
      <c r="L72"/>
      <c r="M72"/>
      <c r="N72"/>
      <c r="O72"/>
      <c r="P72"/>
      <c r="Q72"/>
      <c r="S72" s="942" t="s">
        <v>161</v>
      </c>
      <c r="T72" s="921" t="str">
        <f t="shared" si="87"/>
        <v>.751"  to  1.000"</v>
      </c>
      <c r="U72" s="905">
        <v>250</v>
      </c>
      <c r="V72" s="925">
        <f t="shared" si="88"/>
        <v>330</v>
      </c>
      <c r="W72" s="917">
        <f t="shared" si="89"/>
        <v>430</v>
      </c>
      <c r="AE72" s="848" t="s">
        <v>1057</v>
      </c>
      <c r="AF72" s="464">
        <f t="shared" si="93"/>
        <v>330</v>
      </c>
      <c r="AH72" s="848" t="s">
        <v>1058</v>
      </c>
      <c r="AI72" s="464">
        <f t="shared" si="94"/>
        <v>430</v>
      </c>
    </row>
    <row r="73" spans="2:35" s="848" customFormat="1" x14ac:dyDescent="0.25">
      <c r="B73" s="907">
        <v>0.75149999999999995</v>
      </c>
      <c r="C73" s="907">
        <v>1.0004999999999999</v>
      </c>
      <c r="E73" s="848" t="str">
        <f t="shared" si="85"/>
        <v>L55</v>
      </c>
      <c r="F73" s="934"/>
      <c r="G73" s="904">
        <f t="shared" si="99"/>
        <v>1.3</v>
      </c>
      <c r="H73" s="904">
        <f t="shared" si="99"/>
        <v>1.7</v>
      </c>
      <c r="I73"/>
      <c r="J73"/>
      <c r="K73"/>
      <c r="L73"/>
      <c r="M73"/>
      <c r="N73"/>
      <c r="O73"/>
      <c r="P73"/>
      <c r="Q73"/>
      <c r="S73" s="918" t="s">
        <v>162</v>
      </c>
      <c r="T73" s="922" t="str">
        <f t="shared" si="87"/>
        <v>.7515"  to  1.0005"</v>
      </c>
      <c r="U73" s="915">
        <v>250</v>
      </c>
      <c r="V73" s="926">
        <f t="shared" si="88"/>
        <v>330</v>
      </c>
      <c r="W73" s="919">
        <f t="shared" si="89"/>
        <v>430</v>
      </c>
      <c r="AE73" s="848" t="s">
        <v>1059</v>
      </c>
      <c r="AF73" s="464">
        <f t="shared" si="93"/>
        <v>330</v>
      </c>
      <c r="AH73" s="848" t="s">
        <v>1060</v>
      </c>
      <c r="AI73" s="464">
        <f t="shared" si="94"/>
        <v>430</v>
      </c>
    </row>
    <row r="74" spans="2:35" s="848" customFormat="1" ht="15.75" thickBot="1" x14ac:dyDescent="0.3">
      <c r="B74" s="907">
        <v>0.75149999999999995</v>
      </c>
      <c r="C74" s="907">
        <v>1.0004999999999999</v>
      </c>
      <c r="E74" s="848" t="str">
        <f t="shared" si="85"/>
        <v>L55</v>
      </c>
      <c r="F74" s="934"/>
      <c r="G74" s="904">
        <f t="shared" si="99"/>
        <v>1.3</v>
      </c>
      <c r="H74" s="904">
        <f t="shared" si="99"/>
        <v>1.7</v>
      </c>
      <c r="I74"/>
      <c r="J74"/>
      <c r="K74"/>
      <c r="L74"/>
      <c r="M74"/>
      <c r="N74"/>
      <c r="O74"/>
      <c r="P74"/>
      <c r="Q74"/>
      <c r="S74" s="941" t="s">
        <v>163</v>
      </c>
      <c r="T74" s="924" t="str">
        <f t="shared" si="87"/>
        <v>.7515"  to  1.0005"</v>
      </c>
      <c r="U74" s="920">
        <v>250</v>
      </c>
      <c r="V74" s="928">
        <f t="shared" si="88"/>
        <v>330</v>
      </c>
      <c r="W74" s="249">
        <f t="shared" si="89"/>
        <v>430</v>
      </c>
      <c r="AE74" s="848" t="s">
        <v>1059</v>
      </c>
      <c r="AF74" s="464">
        <f t="shared" si="93"/>
        <v>330</v>
      </c>
      <c r="AH74" s="848" t="s">
        <v>1060</v>
      </c>
      <c r="AI74" s="464">
        <f t="shared" si="94"/>
        <v>430</v>
      </c>
    </row>
    <row r="75" spans="2:35" s="848" customFormat="1" x14ac:dyDescent="0.25">
      <c r="G75" s="913"/>
      <c r="H75" s="913"/>
      <c r="I75"/>
      <c r="J75"/>
      <c r="K75"/>
      <c r="L75"/>
      <c r="M75"/>
      <c r="N75"/>
      <c r="O75"/>
      <c r="P75"/>
      <c r="Q75"/>
      <c r="V75" s="904"/>
      <c r="W75" s="904"/>
    </row>
    <row r="76" spans="2:35" s="848" customFormat="1" x14ac:dyDescent="0.25">
      <c r="G76" s="913"/>
      <c r="H76" s="913"/>
      <c r="I76"/>
      <c r="J76"/>
      <c r="K76"/>
      <c r="L76"/>
      <c r="M76"/>
      <c r="N76"/>
      <c r="O76"/>
      <c r="P76"/>
      <c r="Q76"/>
      <c r="V76" s="904"/>
      <c r="W76" s="904"/>
    </row>
    <row r="77" spans="2:35" s="848" customFormat="1" x14ac:dyDescent="0.25">
      <c r="I77"/>
      <c r="J77"/>
      <c r="K77"/>
      <c r="L77"/>
      <c r="M77"/>
      <c r="N77"/>
      <c r="O77"/>
      <c r="P77"/>
      <c r="Q77"/>
    </row>
    <row r="78" spans="2:35" s="848" customFormat="1" x14ac:dyDescent="0.25">
      <c r="I78"/>
      <c r="J78"/>
      <c r="K78"/>
      <c r="L78"/>
      <c r="M78"/>
      <c r="N78"/>
      <c r="O78"/>
      <c r="P78"/>
      <c r="Q78"/>
    </row>
    <row r="79" spans="2:35" s="848" customFormat="1" x14ac:dyDescent="0.25">
      <c r="I79"/>
      <c r="J79"/>
      <c r="K79"/>
      <c r="L79"/>
      <c r="M79"/>
      <c r="N79"/>
      <c r="O79"/>
      <c r="P79"/>
      <c r="Q79"/>
    </row>
    <row r="80" spans="2:35" s="848" customFormat="1" x14ac:dyDescent="0.25">
      <c r="I80"/>
      <c r="J80"/>
      <c r="K80"/>
      <c r="L80"/>
      <c r="M80"/>
      <c r="N80"/>
      <c r="O80"/>
      <c r="P80"/>
      <c r="Q80"/>
    </row>
    <row r="81" spans="7:23" s="848" customFormat="1" x14ac:dyDescent="0.25">
      <c r="I81"/>
      <c r="J81"/>
      <c r="K81"/>
      <c r="L81"/>
      <c r="M81"/>
      <c r="N81"/>
      <c r="O81"/>
      <c r="P81"/>
      <c r="Q81"/>
    </row>
    <row r="82" spans="7:23" s="848" customFormat="1" x14ac:dyDescent="0.25">
      <c r="I82"/>
      <c r="J82"/>
      <c r="K82"/>
      <c r="L82"/>
      <c r="M82"/>
      <c r="N82"/>
      <c r="O82"/>
      <c r="P82"/>
      <c r="Q82"/>
    </row>
    <row r="83" spans="7:23" s="848" customFormat="1" x14ac:dyDescent="0.25">
      <c r="I83"/>
      <c r="J83"/>
      <c r="K83"/>
      <c r="L83"/>
      <c r="M83"/>
      <c r="N83"/>
      <c r="O83"/>
      <c r="P83"/>
      <c r="Q83"/>
    </row>
    <row r="84" spans="7:23" s="848" customFormat="1" x14ac:dyDescent="0.25">
      <c r="I84"/>
      <c r="J84"/>
      <c r="K84"/>
      <c r="L84"/>
      <c r="M84"/>
      <c r="N84"/>
      <c r="O84"/>
      <c r="P84"/>
      <c r="Q84"/>
    </row>
    <row r="85" spans="7:23" s="848" customFormat="1" x14ac:dyDescent="0.25">
      <c r="I85"/>
      <c r="J85"/>
      <c r="K85"/>
      <c r="L85"/>
      <c r="M85"/>
      <c r="N85"/>
      <c r="O85"/>
      <c r="P85"/>
      <c r="Q85"/>
    </row>
    <row r="86" spans="7:23" s="848" customFormat="1" x14ac:dyDescent="0.25">
      <c r="I86"/>
      <c r="J86"/>
      <c r="K86"/>
      <c r="L86"/>
      <c r="M86"/>
      <c r="N86"/>
      <c r="O86"/>
      <c r="P86"/>
      <c r="Q86"/>
    </row>
    <row r="87" spans="7:23" s="848" customFormat="1" x14ac:dyDescent="0.25">
      <c r="I87"/>
      <c r="J87"/>
      <c r="K87"/>
      <c r="L87"/>
      <c r="M87"/>
      <c r="N87"/>
      <c r="O87"/>
      <c r="P87"/>
      <c r="Q87"/>
    </row>
    <row r="88" spans="7:23" s="848" customFormat="1" x14ac:dyDescent="0.25">
      <c r="I88"/>
      <c r="J88"/>
      <c r="K88"/>
      <c r="L88"/>
      <c r="M88"/>
      <c r="N88"/>
      <c r="O88"/>
      <c r="P88"/>
      <c r="Q88"/>
    </row>
    <row r="89" spans="7:23" s="848" customFormat="1" x14ac:dyDescent="0.25">
      <c r="I89"/>
      <c r="J89"/>
      <c r="K89"/>
      <c r="L89"/>
      <c r="M89"/>
      <c r="N89"/>
      <c r="O89"/>
      <c r="P89"/>
      <c r="Q89"/>
    </row>
    <row r="90" spans="7:23" s="848" customFormat="1" x14ac:dyDescent="0.25">
      <c r="I90"/>
      <c r="J90"/>
      <c r="K90"/>
      <c r="L90"/>
      <c r="M90"/>
      <c r="N90"/>
      <c r="O90"/>
      <c r="P90"/>
      <c r="Q90"/>
    </row>
    <row r="91" spans="7:23" s="848" customFormat="1" x14ac:dyDescent="0.25">
      <c r="G91" s="913"/>
      <c r="H91" s="913"/>
      <c r="I91"/>
      <c r="J91"/>
      <c r="K91"/>
      <c r="L91"/>
      <c r="M91"/>
      <c r="N91"/>
      <c r="O91"/>
      <c r="P91"/>
      <c r="Q91"/>
      <c r="U91" s="905"/>
      <c r="V91" s="904"/>
      <c r="W91" s="904"/>
    </row>
    <row r="92" spans="7:23" s="848" customFormat="1" x14ac:dyDescent="0.25">
      <c r="G92" s="913"/>
      <c r="H92" s="913"/>
      <c r="I92"/>
      <c r="J92"/>
      <c r="K92"/>
      <c r="L92"/>
      <c r="M92"/>
      <c r="N92"/>
      <c r="O92"/>
      <c r="P92"/>
      <c r="Q92"/>
      <c r="V92" s="904"/>
      <c r="W92" s="904"/>
    </row>
    <row r="93" spans="7:23" s="848" customFormat="1" x14ac:dyDescent="0.25">
      <c r="G93" s="913"/>
      <c r="H93" s="913"/>
      <c r="I93"/>
      <c r="J93"/>
      <c r="K93"/>
      <c r="L93"/>
      <c r="M93"/>
      <c r="N93"/>
      <c r="O93"/>
      <c r="P93"/>
      <c r="Q93"/>
      <c r="V93" s="904"/>
      <c r="W93" s="904"/>
    </row>
    <row r="94" spans="7:23" s="848" customFormat="1" x14ac:dyDescent="0.25">
      <c r="G94" s="913"/>
      <c r="H94" s="913"/>
      <c r="I94"/>
      <c r="J94"/>
      <c r="K94"/>
      <c r="L94"/>
      <c r="M94"/>
      <c r="N94"/>
      <c r="O94"/>
      <c r="P94"/>
      <c r="Q94"/>
      <c r="V94" s="904"/>
      <c r="W94" s="904"/>
    </row>
    <row r="95" spans="7:23" s="848" customFormat="1" x14ac:dyDescent="0.25">
      <c r="G95" s="913"/>
      <c r="H95" s="913"/>
      <c r="I95"/>
      <c r="J95"/>
      <c r="K95"/>
      <c r="L95"/>
      <c r="M95"/>
      <c r="N95"/>
      <c r="O95"/>
      <c r="P95"/>
      <c r="Q95"/>
      <c r="V95" s="904"/>
      <c r="W95" s="904"/>
    </row>
    <row r="96" spans="7:23" s="848" customFormat="1" x14ac:dyDescent="0.25">
      <c r="G96" s="913"/>
      <c r="H96" s="913"/>
      <c r="I96"/>
      <c r="J96"/>
      <c r="K96"/>
      <c r="L96"/>
      <c r="M96"/>
      <c r="N96"/>
      <c r="O96"/>
      <c r="P96"/>
      <c r="Q96"/>
      <c r="V96" s="904"/>
      <c r="W96" s="904"/>
    </row>
    <row r="97" spans="7:23" s="848" customFormat="1" x14ac:dyDescent="0.25">
      <c r="G97" s="913"/>
      <c r="H97" s="913"/>
      <c r="I97"/>
      <c r="J97"/>
      <c r="K97"/>
      <c r="L97"/>
      <c r="M97"/>
      <c r="N97"/>
      <c r="O97"/>
      <c r="P97"/>
      <c r="Q97"/>
      <c r="V97" s="904"/>
      <c r="W97" s="904"/>
    </row>
    <row r="98" spans="7:23" s="848" customFormat="1" x14ac:dyDescent="0.25">
      <c r="G98" s="913"/>
      <c r="H98" s="913"/>
      <c r="I98"/>
      <c r="J98"/>
      <c r="K98"/>
      <c r="L98"/>
      <c r="M98"/>
      <c r="N98"/>
      <c r="O98"/>
      <c r="P98"/>
      <c r="Q98"/>
      <c r="V98" s="904"/>
      <c r="W98" s="904"/>
    </row>
    <row r="99" spans="7:23" s="848" customFormat="1" x14ac:dyDescent="0.25">
      <c r="G99" s="913"/>
      <c r="H99" s="913"/>
      <c r="I99"/>
      <c r="J99"/>
      <c r="K99"/>
      <c r="L99"/>
      <c r="M99"/>
      <c r="N99"/>
      <c r="O99"/>
      <c r="P99"/>
      <c r="Q99"/>
      <c r="V99" s="904"/>
      <c r="W99" s="904"/>
    </row>
    <row r="100" spans="7:23" s="848" customFormat="1" x14ac:dyDescent="0.25">
      <c r="G100" s="913"/>
      <c r="H100" s="913"/>
      <c r="I100"/>
      <c r="J100"/>
      <c r="K100"/>
      <c r="L100"/>
      <c r="M100"/>
      <c r="N100"/>
      <c r="O100"/>
      <c r="P100"/>
      <c r="Q100"/>
      <c r="V100" s="904"/>
      <c r="W100" s="904"/>
    </row>
    <row r="101" spans="7:23" s="848" customFormat="1" x14ac:dyDescent="0.25">
      <c r="G101" s="913"/>
      <c r="H101" s="913"/>
      <c r="I101"/>
      <c r="J101"/>
      <c r="K101"/>
      <c r="L101"/>
      <c r="M101"/>
      <c r="N101"/>
      <c r="O101"/>
      <c r="P101"/>
      <c r="Q101"/>
      <c r="V101" s="904"/>
      <c r="W101" s="904"/>
    </row>
    <row r="102" spans="7:23" s="848" customFormat="1" x14ac:dyDescent="0.25">
      <c r="G102" s="913"/>
      <c r="H102" s="913"/>
      <c r="I102"/>
      <c r="J102"/>
      <c r="K102"/>
      <c r="L102"/>
      <c r="M102"/>
      <c r="N102"/>
      <c r="O102"/>
      <c r="P102"/>
      <c r="Q102"/>
      <c r="V102" s="904"/>
      <c r="W102" s="904"/>
    </row>
    <row r="103" spans="7:23" s="848" customFormat="1" x14ac:dyDescent="0.25">
      <c r="G103" s="913"/>
      <c r="H103" s="913"/>
      <c r="I103"/>
      <c r="J103"/>
      <c r="K103"/>
      <c r="L103"/>
      <c r="M103"/>
      <c r="N103"/>
      <c r="O103"/>
      <c r="P103"/>
      <c r="Q103"/>
      <c r="V103" s="904"/>
      <c r="W103" s="904"/>
    </row>
    <row r="104" spans="7:23" s="848" customFormat="1" x14ac:dyDescent="0.25">
      <c r="G104" s="913"/>
      <c r="H104" s="913"/>
      <c r="I104"/>
      <c r="J104"/>
      <c r="K104"/>
      <c r="L104"/>
      <c r="M104"/>
      <c r="N104"/>
      <c r="O104"/>
      <c r="P104"/>
      <c r="Q104"/>
      <c r="V104" s="904"/>
      <c r="W104" s="904"/>
    </row>
    <row r="105" spans="7:23" s="848" customFormat="1" x14ac:dyDescent="0.25">
      <c r="G105" s="913"/>
      <c r="H105" s="913"/>
      <c r="I105"/>
      <c r="J105"/>
      <c r="K105"/>
      <c r="L105"/>
      <c r="M105"/>
      <c r="N105"/>
      <c r="O105"/>
      <c r="P105"/>
      <c r="Q105"/>
      <c r="V105" s="904"/>
      <c r="W105" s="904"/>
    </row>
    <row r="106" spans="7:23" s="848" customFormat="1" x14ac:dyDescent="0.25">
      <c r="G106" s="913"/>
      <c r="H106" s="913"/>
      <c r="I106"/>
      <c r="J106"/>
      <c r="K106"/>
      <c r="L106"/>
      <c r="M106"/>
      <c r="N106"/>
      <c r="O106"/>
      <c r="P106"/>
      <c r="Q106"/>
      <c r="V106" s="904"/>
      <c r="W106" s="904"/>
    </row>
    <row r="107" spans="7:23" s="848" customFormat="1" x14ac:dyDescent="0.25">
      <c r="G107" s="913"/>
      <c r="H107" s="913"/>
      <c r="I107"/>
      <c r="J107"/>
      <c r="K107"/>
      <c r="L107"/>
      <c r="M107"/>
      <c r="N107"/>
      <c r="O107"/>
      <c r="P107"/>
      <c r="Q107"/>
      <c r="V107" s="904"/>
      <c r="W107" s="904"/>
    </row>
    <row r="108" spans="7:23" s="848" customFormat="1" x14ac:dyDescent="0.25">
      <c r="G108" s="913"/>
      <c r="H108" s="913"/>
      <c r="I108"/>
      <c r="J108"/>
      <c r="K108"/>
      <c r="L108"/>
      <c r="M108"/>
      <c r="N108"/>
      <c r="O108"/>
      <c r="P108"/>
      <c r="Q108"/>
      <c r="V108" s="904"/>
      <c r="W108" s="904"/>
    </row>
    <row r="109" spans="7:23" s="848" customFormat="1" x14ac:dyDescent="0.25">
      <c r="G109" s="913"/>
      <c r="H109" s="913"/>
      <c r="I109"/>
      <c r="J109"/>
      <c r="K109"/>
      <c r="L109"/>
      <c r="M109"/>
      <c r="N109"/>
      <c r="O109"/>
      <c r="P109"/>
      <c r="Q109"/>
      <c r="V109" s="904"/>
      <c r="W109" s="904"/>
    </row>
    <row r="110" spans="7:23" s="848" customFormat="1" x14ac:dyDescent="0.25">
      <c r="G110" s="913"/>
      <c r="H110" s="913"/>
      <c r="I110"/>
      <c r="J110"/>
      <c r="K110"/>
      <c r="L110"/>
      <c r="M110"/>
      <c r="N110"/>
      <c r="O110"/>
      <c r="P110"/>
      <c r="Q110"/>
      <c r="V110" s="904"/>
      <c r="W110" s="904"/>
    </row>
    <row r="111" spans="7:23" s="848" customFormat="1" x14ac:dyDescent="0.25">
      <c r="G111" s="913"/>
      <c r="H111" s="913"/>
      <c r="I111"/>
      <c r="J111"/>
      <c r="K111"/>
      <c r="L111"/>
      <c r="M111"/>
      <c r="N111"/>
      <c r="O111"/>
      <c r="P111"/>
      <c r="Q111"/>
      <c r="V111" s="904"/>
      <c r="W111" s="904"/>
    </row>
    <row r="112" spans="7:23" s="848" customFormat="1" x14ac:dyDescent="0.25">
      <c r="G112" s="913"/>
      <c r="H112" s="913"/>
      <c r="I112"/>
      <c r="J112"/>
      <c r="K112"/>
      <c r="L112"/>
      <c r="M112"/>
      <c r="N112"/>
      <c r="O112"/>
      <c r="P112"/>
      <c r="Q112"/>
      <c r="V112" s="904"/>
      <c r="W112" s="904"/>
    </row>
    <row r="113" spans="7:23" s="848" customFormat="1" x14ac:dyDescent="0.25">
      <c r="G113" s="913"/>
      <c r="H113" s="913"/>
      <c r="I113"/>
      <c r="J113"/>
      <c r="K113"/>
      <c r="L113"/>
      <c r="M113"/>
      <c r="N113"/>
      <c r="O113"/>
      <c r="P113"/>
      <c r="Q113"/>
      <c r="V113" s="904"/>
      <c r="W113" s="904"/>
    </row>
    <row r="114" spans="7:23" s="848" customFormat="1" x14ac:dyDescent="0.25">
      <c r="G114" s="913"/>
      <c r="H114" s="913"/>
      <c r="I114"/>
      <c r="J114"/>
      <c r="K114"/>
      <c r="L114"/>
      <c r="M114"/>
      <c r="N114"/>
      <c r="O114"/>
      <c r="P114"/>
      <c r="Q114"/>
      <c r="V114" s="904"/>
      <c r="W114" s="904"/>
    </row>
    <row r="115" spans="7:23" s="848" customFormat="1" x14ac:dyDescent="0.25">
      <c r="G115" s="913"/>
      <c r="H115" s="913"/>
      <c r="I115"/>
      <c r="J115"/>
      <c r="K115"/>
      <c r="L115"/>
      <c r="M115"/>
      <c r="N115"/>
      <c r="O115"/>
      <c r="P115"/>
      <c r="Q115"/>
      <c r="V115" s="904"/>
      <c r="W115" s="904"/>
    </row>
    <row r="116" spans="7:23" s="848" customFormat="1" x14ac:dyDescent="0.25">
      <c r="G116" s="913"/>
      <c r="H116" s="913"/>
      <c r="I116"/>
      <c r="J116"/>
      <c r="K116"/>
      <c r="L116"/>
      <c r="M116"/>
      <c r="N116"/>
      <c r="O116"/>
      <c r="P116"/>
      <c r="Q116"/>
      <c r="V116" s="904"/>
      <c r="W116" s="904"/>
    </row>
    <row r="117" spans="7:23" s="848" customFormat="1" x14ac:dyDescent="0.25">
      <c r="G117" s="913"/>
      <c r="H117" s="913"/>
      <c r="I117"/>
      <c r="J117"/>
      <c r="K117"/>
      <c r="L117"/>
      <c r="M117"/>
      <c r="N117"/>
      <c r="O117"/>
      <c r="P117"/>
      <c r="Q117"/>
      <c r="V117" s="904"/>
      <c r="W117" s="904"/>
    </row>
    <row r="118" spans="7:23" s="848" customFormat="1" x14ac:dyDescent="0.25">
      <c r="G118" s="913"/>
      <c r="H118" s="913"/>
      <c r="I118"/>
      <c r="J118"/>
      <c r="K118"/>
      <c r="L118"/>
      <c r="M118"/>
      <c r="N118"/>
      <c r="O118"/>
      <c r="P118"/>
      <c r="Q118"/>
      <c r="V118" s="904"/>
      <c r="W118" s="904"/>
    </row>
    <row r="119" spans="7:23" s="848" customFormat="1" x14ac:dyDescent="0.25">
      <c r="G119" s="913"/>
      <c r="H119" s="913"/>
      <c r="I119"/>
      <c r="J119"/>
      <c r="K119"/>
      <c r="L119"/>
      <c r="M119"/>
      <c r="N119"/>
      <c r="O119"/>
      <c r="P119"/>
      <c r="Q119"/>
      <c r="V119" s="904"/>
      <c r="W119" s="904"/>
    </row>
    <row r="120" spans="7:23" s="848" customFormat="1" x14ac:dyDescent="0.25">
      <c r="G120" s="913"/>
      <c r="H120" s="913"/>
      <c r="I120"/>
      <c r="J120"/>
      <c r="K120"/>
      <c r="L120"/>
      <c r="M120"/>
      <c r="N120"/>
      <c r="O120"/>
      <c r="P120"/>
      <c r="Q120"/>
      <c r="V120" s="904"/>
      <c r="W120" s="904"/>
    </row>
    <row r="121" spans="7:23" s="848" customFormat="1" x14ac:dyDescent="0.25">
      <c r="G121" s="913"/>
      <c r="H121" s="913"/>
      <c r="I121"/>
      <c r="J121"/>
      <c r="K121"/>
      <c r="L121"/>
      <c r="M121"/>
      <c r="N121"/>
      <c r="O121"/>
      <c r="P121"/>
      <c r="Q121"/>
      <c r="V121" s="904"/>
      <c r="W121" s="904"/>
    </row>
    <row r="122" spans="7:23" s="848" customFormat="1" x14ac:dyDescent="0.25">
      <c r="G122" s="913"/>
      <c r="H122" s="913"/>
      <c r="I122"/>
      <c r="J122"/>
      <c r="K122"/>
      <c r="L122"/>
      <c r="M122"/>
      <c r="N122"/>
      <c r="O122"/>
      <c r="P122"/>
      <c r="Q122"/>
      <c r="V122" s="904"/>
      <c r="W122" s="904"/>
    </row>
    <row r="123" spans="7:23" s="848" customFormat="1" x14ac:dyDescent="0.25">
      <c r="G123" s="913"/>
      <c r="H123" s="913"/>
      <c r="I123"/>
      <c r="J123"/>
      <c r="K123"/>
      <c r="L123"/>
      <c r="M123"/>
      <c r="N123"/>
      <c r="O123"/>
      <c r="P123"/>
      <c r="Q123"/>
      <c r="V123" s="904"/>
      <c r="W123" s="904"/>
    </row>
    <row r="124" spans="7:23" s="848" customFormat="1" x14ac:dyDescent="0.25">
      <c r="G124" s="913"/>
      <c r="H124" s="913"/>
      <c r="I124"/>
      <c r="J124"/>
      <c r="K124"/>
      <c r="L124"/>
      <c r="M124"/>
      <c r="N124"/>
      <c r="O124"/>
      <c r="P124"/>
      <c r="Q124"/>
      <c r="V124" s="904"/>
      <c r="W124" s="904"/>
    </row>
    <row r="125" spans="7:23" s="848" customFormat="1" x14ac:dyDescent="0.25">
      <c r="G125" s="913"/>
      <c r="H125" s="913"/>
      <c r="I125"/>
      <c r="J125"/>
      <c r="K125"/>
      <c r="L125"/>
      <c r="M125"/>
      <c r="N125"/>
      <c r="O125"/>
      <c r="P125"/>
      <c r="Q125"/>
      <c r="V125" s="904"/>
      <c r="W125" s="904"/>
    </row>
    <row r="126" spans="7:23" s="848" customFormat="1" x14ac:dyDescent="0.25">
      <c r="G126" s="913"/>
      <c r="H126" s="913"/>
      <c r="I126"/>
      <c r="J126"/>
      <c r="K126"/>
      <c r="L126"/>
      <c r="M126"/>
      <c r="N126"/>
      <c r="O126"/>
      <c r="P126"/>
      <c r="Q126"/>
      <c r="V126" s="904"/>
      <c r="W126" s="904"/>
    </row>
    <row r="127" spans="7:23" s="848" customFormat="1" x14ac:dyDescent="0.25">
      <c r="G127" s="913"/>
      <c r="H127" s="913"/>
      <c r="I127"/>
      <c r="J127"/>
      <c r="K127"/>
      <c r="L127"/>
      <c r="M127"/>
      <c r="N127"/>
      <c r="O127"/>
      <c r="P127"/>
      <c r="Q127"/>
      <c r="V127" s="904"/>
      <c r="W127" s="904"/>
    </row>
    <row r="128" spans="7:23" s="848" customFormat="1" x14ac:dyDescent="0.25">
      <c r="G128" s="913"/>
      <c r="H128" s="913"/>
      <c r="I128"/>
      <c r="J128"/>
      <c r="K128"/>
      <c r="L128"/>
      <c r="M128"/>
      <c r="N128"/>
      <c r="O128"/>
      <c r="P128"/>
      <c r="Q128"/>
      <c r="V128" s="904"/>
      <c r="W128" s="904"/>
    </row>
    <row r="129" spans="7:23" s="848" customFormat="1" x14ac:dyDescent="0.25">
      <c r="G129" s="913"/>
      <c r="H129" s="913"/>
      <c r="I129"/>
      <c r="J129"/>
      <c r="K129"/>
      <c r="L129"/>
      <c r="M129"/>
      <c r="N129"/>
      <c r="O129"/>
      <c r="P129"/>
      <c r="Q129"/>
      <c r="V129" s="904"/>
      <c r="W129" s="904"/>
    </row>
    <row r="130" spans="7:23" s="848" customFormat="1" x14ac:dyDescent="0.25">
      <c r="G130" s="913"/>
      <c r="H130" s="913"/>
      <c r="I130"/>
      <c r="J130"/>
      <c r="K130"/>
      <c r="L130"/>
      <c r="M130"/>
      <c r="N130"/>
      <c r="O130"/>
      <c r="P130"/>
      <c r="Q130"/>
      <c r="V130" s="904"/>
      <c r="W130" s="904"/>
    </row>
    <row r="131" spans="7:23" s="848" customFormat="1" x14ac:dyDescent="0.25">
      <c r="G131" s="913"/>
      <c r="H131" s="913"/>
      <c r="I131"/>
      <c r="J131"/>
      <c r="K131"/>
      <c r="L131"/>
      <c r="M131"/>
      <c r="N131"/>
      <c r="O131"/>
      <c r="P131"/>
      <c r="Q131"/>
      <c r="V131" s="904"/>
      <c r="W131" s="904"/>
    </row>
    <row r="132" spans="7:23" s="848" customFormat="1" x14ac:dyDescent="0.25">
      <c r="G132" s="913"/>
      <c r="H132" s="913"/>
      <c r="I132"/>
      <c r="J132"/>
      <c r="K132"/>
      <c r="L132"/>
      <c r="M132"/>
      <c r="N132"/>
      <c r="O132"/>
      <c r="P132"/>
      <c r="Q132"/>
      <c r="V132" s="904"/>
      <c r="W132" s="904"/>
    </row>
    <row r="133" spans="7:23" s="848" customFormat="1" x14ac:dyDescent="0.25">
      <c r="G133" s="913"/>
      <c r="H133" s="913"/>
      <c r="I133"/>
      <c r="J133"/>
      <c r="K133"/>
      <c r="L133"/>
      <c r="M133"/>
      <c r="N133"/>
      <c r="O133"/>
      <c r="P133"/>
      <c r="Q133"/>
      <c r="V133" s="904"/>
      <c r="W133" s="904"/>
    </row>
    <row r="134" spans="7:23" s="848" customFormat="1" x14ac:dyDescent="0.25">
      <c r="G134" s="913"/>
      <c r="H134" s="913"/>
      <c r="I134"/>
      <c r="J134"/>
      <c r="K134"/>
      <c r="L134"/>
      <c r="M134"/>
      <c r="N134"/>
      <c r="O134"/>
      <c r="P134"/>
      <c r="Q134"/>
      <c r="V134" s="904"/>
      <c r="W134" s="904"/>
    </row>
    <row r="135" spans="7:23" s="848" customFormat="1" x14ac:dyDescent="0.25">
      <c r="G135" s="913"/>
      <c r="H135" s="913"/>
      <c r="I135"/>
      <c r="J135"/>
      <c r="K135"/>
      <c r="L135"/>
      <c r="M135"/>
      <c r="N135"/>
      <c r="O135"/>
      <c r="P135"/>
      <c r="Q135"/>
      <c r="V135" s="904"/>
      <c r="W135" s="904"/>
    </row>
    <row r="136" spans="7:23" s="848" customFormat="1" x14ac:dyDescent="0.25">
      <c r="G136" s="913"/>
      <c r="H136" s="913"/>
      <c r="I136"/>
      <c r="J136"/>
      <c r="K136"/>
      <c r="L136"/>
      <c r="M136"/>
      <c r="N136"/>
      <c r="O136"/>
      <c r="P136"/>
      <c r="Q136"/>
      <c r="V136" s="904"/>
      <c r="W136" s="904"/>
    </row>
    <row r="137" spans="7:23" s="848" customFormat="1" x14ac:dyDescent="0.25">
      <c r="G137" s="913"/>
      <c r="H137" s="913"/>
      <c r="I137"/>
      <c r="J137"/>
      <c r="K137"/>
      <c r="L137"/>
      <c r="M137"/>
      <c r="N137"/>
      <c r="O137"/>
      <c r="P137"/>
      <c r="Q137"/>
      <c r="V137" s="904"/>
      <c r="W137" s="904"/>
    </row>
    <row r="138" spans="7:23" s="848" customFormat="1" x14ac:dyDescent="0.25">
      <c r="G138" s="913"/>
      <c r="H138" s="913"/>
      <c r="I138"/>
      <c r="J138"/>
      <c r="K138"/>
      <c r="L138"/>
      <c r="M138"/>
      <c r="N138"/>
      <c r="O138"/>
      <c r="P138"/>
      <c r="Q138"/>
      <c r="V138" s="904"/>
      <c r="W138" s="904"/>
    </row>
    <row r="139" spans="7:23" s="848" customFormat="1" x14ac:dyDescent="0.25">
      <c r="G139" s="913"/>
      <c r="H139" s="913"/>
      <c r="I139"/>
      <c r="J139"/>
      <c r="K139"/>
      <c r="L139"/>
      <c r="M139"/>
      <c r="N139"/>
      <c r="O139"/>
      <c r="P139"/>
      <c r="Q139"/>
      <c r="V139" s="904"/>
      <c r="W139" s="904"/>
    </row>
    <row r="140" spans="7:23" s="848" customFormat="1" x14ac:dyDescent="0.25">
      <c r="G140" s="913"/>
      <c r="H140" s="913"/>
      <c r="I140"/>
      <c r="J140"/>
      <c r="K140"/>
      <c r="L140"/>
      <c r="M140"/>
      <c r="N140"/>
      <c r="O140"/>
      <c r="P140"/>
      <c r="Q140"/>
      <c r="V140" s="904"/>
      <c r="W140" s="904"/>
    </row>
    <row r="141" spans="7:23" s="848" customFormat="1" x14ac:dyDescent="0.25">
      <c r="G141" s="913"/>
      <c r="H141" s="913"/>
      <c r="I141"/>
      <c r="J141"/>
      <c r="K141"/>
      <c r="L141"/>
      <c r="M141"/>
      <c r="N141"/>
      <c r="O141"/>
      <c r="P141"/>
      <c r="Q141"/>
      <c r="V141" s="904"/>
      <c r="W141" s="904"/>
    </row>
    <row r="142" spans="7:23" s="848" customFormat="1" x14ac:dyDescent="0.25">
      <c r="G142" s="913"/>
      <c r="H142" s="913"/>
      <c r="I142"/>
      <c r="J142"/>
      <c r="K142"/>
      <c r="L142"/>
      <c r="M142"/>
      <c r="N142"/>
      <c r="O142"/>
      <c r="P142"/>
      <c r="Q142"/>
      <c r="V142" s="904"/>
      <c r="W142" s="904"/>
    </row>
    <row r="143" spans="7:23" s="848" customFormat="1" x14ac:dyDescent="0.25">
      <c r="G143" s="913"/>
      <c r="H143" s="913"/>
      <c r="I143"/>
      <c r="J143"/>
      <c r="K143"/>
      <c r="L143"/>
      <c r="M143"/>
      <c r="N143"/>
      <c r="O143"/>
      <c r="P143"/>
      <c r="Q143"/>
      <c r="V143" s="904"/>
      <c r="W143" s="904"/>
    </row>
    <row r="144" spans="7:23" s="848" customFormat="1" x14ac:dyDescent="0.25">
      <c r="G144" s="913"/>
      <c r="H144" s="913"/>
      <c r="I144"/>
      <c r="J144"/>
      <c r="K144"/>
      <c r="L144"/>
      <c r="M144"/>
      <c r="N144"/>
      <c r="O144"/>
      <c r="P144"/>
      <c r="Q144"/>
      <c r="V144" s="904"/>
      <c r="W144" s="904"/>
    </row>
    <row r="145" spans="7:23" s="848" customFormat="1" x14ac:dyDescent="0.25">
      <c r="G145" s="913"/>
      <c r="H145" s="913"/>
      <c r="I145"/>
      <c r="J145"/>
      <c r="K145"/>
      <c r="L145"/>
      <c r="M145"/>
      <c r="N145"/>
      <c r="O145"/>
      <c r="P145"/>
      <c r="Q145"/>
      <c r="V145" s="904"/>
      <c r="W145" s="904"/>
    </row>
    <row r="146" spans="7:23" s="848" customFormat="1" x14ac:dyDescent="0.25">
      <c r="G146" s="913"/>
      <c r="H146" s="913"/>
      <c r="I146"/>
      <c r="J146"/>
      <c r="K146"/>
      <c r="L146"/>
      <c r="M146"/>
      <c r="N146"/>
      <c r="O146"/>
      <c r="P146"/>
      <c r="Q146"/>
      <c r="V146" s="904"/>
      <c r="W146" s="904"/>
    </row>
    <row r="147" spans="7:23" s="848" customFormat="1" x14ac:dyDescent="0.25">
      <c r="G147" s="913"/>
      <c r="H147" s="913"/>
      <c r="I147"/>
      <c r="J147"/>
      <c r="K147"/>
      <c r="L147"/>
      <c r="M147"/>
      <c r="N147"/>
      <c r="O147"/>
      <c r="P147"/>
      <c r="Q147"/>
      <c r="V147" s="904"/>
      <c r="W147" s="904"/>
    </row>
    <row r="148" spans="7:23" s="848" customFormat="1" x14ac:dyDescent="0.25">
      <c r="G148" s="913"/>
      <c r="H148" s="913"/>
      <c r="I148"/>
      <c r="J148"/>
      <c r="K148"/>
      <c r="L148"/>
      <c r="M148"/>
      <c r="N148"/>
      <c r="O148"/>
      <c r="P148"/>
      <c r="Q148"/>
      <c r="V148" s="904"/>
      <c r="W148" s="904"/>
    </row>
    <row r="149" spans="7:23" s="848" customFormat="1" x14ac:dyDescent="0.25">
      <c r="G149" s="913"/>
      <c r="H149" s="913"/>
      <c r="I149"/>
      <c r="J149"/>
      <c r="K149"/>
      <c r="L149"/>
      <c r="M149"/>
      <c r="N149"/>
      <c r="O149"/>
      <c r="P149"/>
      <c r="Q149"/>
      <c r="V149" s="904"/>
      <c r="W149" s="904"/>
    </row>
    <row r="150" spans="7:23" s="848" customFormat="1" x14ac:dyDescent="0.25">
      <c r="G150" s="913"/>
      <c r="H150" s="913"/>
      <c r="I150"/>
      <c r="J150"/>
      <c r="K150"/>
      <c r="L150"/>
      <c r="M150"/>
      <c r="N150"/>
      <c r="O150"/>
      <c r="P150"/>
      <c r="Q150"/>
      <c r="V150" s="904"/>
      <c r="W150" s="904"/>
    </row>
    <row r="151" spans="7:23" s="848" customFormat="1" x14ac:dyDescent="0.25">
      <c r="G151" s="913"/>
      <c r="H151" s="913"/>
      <c r="I151"/>
      <c r="J151"/>
      <c r="K151"/>
      <c r="L151"/>
      <c r="M151"/>
      <c r="N151"/>
      <c r="O151"/>
      <c r="P151"/>
      <c r="Q151"/>
      <c r="V151" s="904"/>
      <c r="W151" s="904"/>
    </row>
    <row r="152" spans="7:23" s="848" customFormat="1" x14ac:dyDescent="0.25">
      <c r="G152" s="913"/>
      <c r="H152" s="913"/>
      <c r="I152"/>
      <c r="J152"/>
      <c r="K152"/>
      <c r="L152"/>
      <c r="M152"/>
      <c r="N152"/>
      <c r="O152"/>
      <c r="P152"/>
      <c r="Q152"/>
      <c r="V152" s="904"/>
      <c r="W152" s="904"/>
    </row>
    <row r="153" spans="7:23" s="848" customFormat="1" x14ac:dyDescent="0.25">
      <c r="G153" s="913"/>
      <c r="H153" s="913"/>
      <c r="I153"/>
      <c r="J153"/>
      <c r="K153"/>
      <c r="L153"/>
      <c r="M153"/>
      <c r="N153"/>
      <c r="O153"/>
      <c r="P153"/>
      <c r="Q153"/>
      <c r="V153" s="904"/>
      <c r="W153" s="904"/>
    </row>
    <row r="154" spans="7:23" s="848" customFormat="1" x14ac:dyDescent="0.25">
      <c r="G154" s="913"/>
      <c r="H154" s="913"/>
      <c r="I154"/>
      <c r="J154"/>
      <c r="K154"/>
      <c r="L154"/>
      <c r="M154"/>
      <c r="N154"/>
      <c r="O154"/>
      <c r="P154"/>
      <c r="Q154"/>
      <c r="V154" s="904"/>
      <c r="W154" s="904"/>
    </row>
    <row r="155" spans="7:23" s="848" customFormat="1" x14ac:dyDescent="0.25">
      <c r="G155" s="913"/>
      <c r="H155" s="913"/>
      <c r="I155"/>
      <c r="J155"/>
      <c r="K155"/>
      <c r="L155"/>
      <c r="M155"/>
      <c r="N155"/>
      <c r="O155"/>
      <c r="P155"/>
      <c r="Q155"/>
      <c r="V155" s="904"/>
      <c r="W155" s="904"/>
    </row>
    <row r="156" spans="7:23" s="848" customFormat="1" x14ac:dyDescent="0.25">
      <c r="G156" s="913"/>
      <c r="H156" s="913"/>
      <c r="I156"/>
      <c r="J156"/>
      <c r="K156"/>
      <c r="L156"/>
      <c r="M156"/>
      <c r="N156"/>
      <c r="O156"/>
      <c r="P156"/>
      <c r="Q156"/>
      <c r="V156" s="904"/>
      <c r="W156" s="904"/>
    </row>
    <row r="157" spans="7:23" s="848" customFormat="1" x14ac:dyDescent="0.25">
      <c r="G157" s="913"/>
      <c r="H157" s="913"/>
      <c r="I157"/>
      <c r="J157"/>
      <c r="K157"/>
      <c r="L157"/>
      <c r="M157"/>
      <c r="N157"/>
      <c r="O157"/>
      <c r="P157"/>
      <c r="Q157"/>
      <c r="V157" s="904"/>
      <c r="W157" s="904"/>
    </row>
    <row r="158" spans="7:23" s="848" customFormat="1" x14ac:dyDescent="0.25">
      <c r="G158" s="913"/>
      <c r="H158" s="913"/>
      <c r="I158"/>
      <c r="J158"/>
      <c r="K158"/>
      <c r="L158"/>
      <c r="M158"/>
      <c r="N158"/>
      <c r="O158"/>
      <c r="P158"/>
      <c r="Q158"/>
      <c r="V158" s="904"/>
      <c r="W158" s="904"/>
    </row>
    <row r="159" spans="7:23" s="848" customFormat="1" x14ac:dyDescent="0.25">
      <c r="G159" s="913"/>
      <c r="H159" s="913"/>
      <c r="I159"/>
      <c r="J159"/>
      <c r="K159"/>
      <c r="L159"/>
      <c r="M159"/>
      <c r="N159"/>
      <c r="O159"/>
      <c r="P159"/>
      <c r="Q159"/>
      <c r="V159" s="904"/>
      <c r="W159" s="904"/>
    </row>
    <row r="160" spans="7:23" s="848" customFormat="1" x14ac:dyDescent="0.25">
      <c r="G160" s="913"/>
      <c r="H160" s="913"/>
      <c r="I160"/>
      <c r="J160"/>
      <c r="K160"/>
      <c r="L160"/>
      <c r="M160"/>
      <c r="N160"/>
      <c r="O160"/>
      <c r="P160"/>
      <c r="Q160"/>
      <c r="V160" s="904"/>
      <c r="W160" s="904"/>
    </row>
    <row r="161" spans="7:23" s="848" customFormat="1" x14ac:dyDescent="0.25">
      <c r="G161" s="913"/>
      <c r="H161" s="913"/>
      <c r="I161"/>
      <c r="J161"/>
      <c r="K161"/>
      <c r="L161"/>
      <c r="M161"/>
      <c r="N161"/>
      <c r="O161"/>
      <c r="P161"/>
      <c r="Q161"/>
      <c r="V161" s="904"/>
      <c r="W161" s="904"/>
    </row>
    <row r="162" spans="7:23" s="848" customFormat="1" x14ac:dyDescent="0.25">
      <c r="G162" s="913"/>
      <c r="H162" s="913"/>
      <c r="I162"/>
      <c r="J162"/>
      <c r="K162"/>
      <c r="L162"/>
      <c r="M162"/>
      <c r="N162"/>
      <c r="O162"/>
      <c r="P162"/>
      <c r="Q162"/>
      <c r="V162" s="904"/>
      <c r="W162" s="904"/>
    </row>
    <row r="163" spans="7:23" s="848" customFormat="1" x14ac:dyDescent="0.25">
      <c r="G163" s="913"/>
      <c r="H163" s="913"/>
      <c r="I163"/>
      <c r="J163"/>
      <c r="K163"/>
      <c r="L163"/>
      <c r="M163"/>
      <c r="N163"/>
      <c r="O163"/>
      <c r="P163"/>
      <c r="Q163"/>
      <c r="V163" s="904"/>
      <c r="W163" s="904"/>
    </row>
    <row r="164" spans="7:23" s="848" customFormat="1" x14ac:dyDescent="0.25">
      <c r="G164" s="913"/>
      <c r="H164" s="913"/>
      <c r="I164"/>
      <c r="J164"/>
      <c r="K164"/>
      <c r="L164"/>
      <c r="M164"/>
      <c r="N164"/>
      <c r="O164"/>
      <c r="P164"/>
      <c r="Q164"/>
      <c r="V164" s="904"/>
      <c r="W164" s="904"/>
    </row>
    <row r="165" spans="7:23" s="848" customFormat="1" x14ac:dyDescent="0.25">
      <c r="G165" s="913"/>
      <c r="H165" s="913"/>
      <c r="I165"/>
      <c r="J165"/>
      <c r="K165"/>
      <c r="L165"/>
      <c r="M165"/>
      <c r="N165"/>
      <c r="O165"/>
      <c r="P165"/>
      <c r="Q165"/>
      <c r="V165" s="904"/>
      <c r="W165" s="904"/>
    </row>
    <row r="166" spans="7:23" s="848" customFormat="1" x14ac:dyDescent="0.25">
      <c r="G166" s="913"/>
      <c r="H166" s="913"/>
      <c r="I166"/>
      <c r="J166"/>
      <c r="K166"/>
      <c r="L166"/>
      <c r="M166"/>
      <c r="N166"/>
      <c r="O166"/>
      <c r="P166"/>
      <c r="Q166"/>
      <c r="V166" s="904"/>
      <c r="W166" s="904"/>
    </row>
    <row r="167" spans="7:23" s="848" customFormat="1" x14ac:dyDescent="0.25">
      <c r="G167" s="913"/>
      <c r="H167" s="913"/>
      <c r="I167"/>
      <c r="J167"/>
      <c r="K167"/>
      <c r="L167"/>
      <c r="M167"/>
      <c r="N167"/>
      <c r="O167"/>
      <c r="P167"/>
      <c r="Q167"/>
      <c r="V167" s="904"/>
      <c r="W167" s="904"/>
    </row>
    <row r="168" spans="7:23" s="848" customFormat="1" x14ac:dyDescent="0.25">
      <c r="G168" s="913"/>
      <c r="H168" s="913"/>
      <c r="I168"/>
      <c r="J168"/>
      <c r="K168"/>
      <c r="L168"/>
      <c r="M168"/>
      <c r="N168"/>
      <c r="O168"/>
      <c r="P168"/>
      <c r="Q168"/>
      <c r="V168" s="904"/>
      <c r="W168" s="904"/>
    </row>
    <row r="169" spans="7:23" s="848" customFormat="1" x14ac:dyDescent="0.25">
      <c r="G169" s="913"/>
      <c r="H169" s="913"/>
      <c r="I169"/>
      <c r="J169"/>
      <c r="K169"/>
      <c r="L169"/>
      <c r="M169"/>
      <c r="N169"/>
      <c r="O169"/>
      <c r="P169"/>
      <c r="Q169"/>
      <c r="V169" s="904"/>
      <c r="W169" s="904"/>
    </row>
    <row r="170" spans="7:23" s="848" customFormat="1" x14ac:dyDescent="0.25">
      <c r="G170" s="913"/>
      <c r="H170" s="913"/>
      <c r="I170"/>
      <c r="J170"/>
      <c r="K170"/>
      <c r="L170"/>
      <c r="M170"/>
      <c r="N170"/>
      <c r="O170"/>
      <c r="P170"/>
      <c r="Q170"/>
      <c r="V170" s="904"/>
      <c r="W170" s="904"/>
    </row>
    <row r="171" spans="7:23" s="848" customFormat="1" x14ac:dyDescent="0.25">
      <c r="G171" s="913"/>
      <c r="H171" s="913"/>
      <c r="I171"/>
      <c r="J171"/>
      <c r="K171"/>
      <c r="L171"/>
      <c r="M171"/>
      <c r="N171"/>
      <c r="O171"/>
      <c r="P171"/>
      <c r="Q171"/>
      <c r="V171" s="904"/>
      <c r="W171" s="904"/>
    </row>
    <row r="172" spans="7:23" s="848" customFormat="1" x14ac:dyDescent="0.25">
      <c r="G172" s="913"/>
      <c r="H172" s="913"/>
      <c r="I172"/>
      <c r="J172"/>
      <c r="K172"/>
      <c r="L172"/>
      <c r="M172"/>
      <c r="N172"/>
      <c r="O172"/>
      <c r="P172"/>
      <c r="Q172"/>
      <c r="V172" s="904"/>
      <c r="W172" s="904"/>
    </row>
    <row r="173" spans="7:23" s="848" customFormat="1" x14ac:dyDescent="0.25">
      <c r="G173" s="913"/>
      <c r="H173" s="913"/>
      <c r="I173"/>
      <c r="J173"/>
      <c r="K173"/>
      <c r="L173"/>
      <c r="M173"/>
      <c r="N173"/>
      <c r="O173"/>
      <c r="P173"/>
      <c r="Q173"/>
      <c r="V173" s="904"/>
      <c r="W173" s="904"/>
    </row>
    <row r="174" spans="7:23" s="848" customFormat="1" x14ac:dyDescent="0.25">
      <c r="I174"/>
      <c r="J174"/>
      <c r="K174"/>
      <c r="L174"/>
      <c r="M174"/>
      <c r="N174"/>
      <c r="O174"/>
      <c r="P174"/>
      <c r="Q174"/>
      <c r="V174" s="904"/>
      <c r="W174" s="904"/>
    </row>
    <row r="175" spans="7:23" s="848" customFormat="1" x14ac:dyDescent="0.25">
      <c r="I175"/>
      <c r="J175"/>
      <c r="K175"/>
      <c r="L175"/>
      <c r="M175"/>
      <c r="N175"/>
      <c r="O175"/>
      <c r="P175"/>
      <c r="Q175"/>
      <c r="V175" s="904"/>
      <c r="W175" s="904"/>
    </row>
    <row r="176" spans="7:23" s="848" customFormat="1" x14ac:dyDescent="0.25">
      <c r="I176"/>
      <c r="J176"/>
      <c r="K176"/>
      <c r="L176"/>
      <c r="M176"/>
      <c r="N176"/>
      <c r="O176"/>
      <c r="P176"/>
      <c r="Q176"/>
      <c r="V176" s="904"/>
      <c r="W176" s="904"/>
    </row>
    <row r="177" spans="9:23" s="848" customFormat="1" x14ac:dyDescent="0.25">
      <c r="I177"/>
      <c r="J177"/>
      <c r="K177"/>
      <c r="L177"/>
      <c r="M177"/>
      <c r="N177"/>
      <c r="O177"/>
      <c r="P177"/>
      <c r="Q177"/>
      <c r="V177" s="904"/>
      <c r="W177" s="904"/>
    </row>
    <row r="178" spans="9:23" s="848" customFormat="1" x14ac:dyDescent="0.25">
      <c r="I178"/>
      <c r="J178"/>
      <c r="K178"/>
      <c r="L178"/>
      <c r="M178"/>
      <c r="N178"/>
      <c r="O178"/>
      <c r="P178"/>
      <c r="Q178"/>
      <c r="V178" s="904"/>
      <c r="W178" s="904"/>
    </row>
    <row r="179" spans="9:23" s="848" customFormat="1" x14ac:dyDescent="0.25">
      <c r="I179"/>
      <c r="J179"/>
      <c r="K179"/>
      <c r="L179"/>
      <c r="M179"/>
      <c r="N179"/>
      <c r="O179"/>
      <c r="P179"/>
      <c r="Q179"/>
      <c r="V179" s="904"/>
      <c r="W179" s="904"/>
    </row>
    <row r="180" spans="9:23" s="848" customFormat="1" x14ac:dyDescent="0.25">
      <c r="I180"/>
      <c r="J180"/>
      <c r="K180"/>
      <c r="L180"/>
      <c r="M180"/>
      <c r="N180"/>
      <c r="O180"/>
      <c r="P180"/>
      <c r="Q180"/>
      <c r="V180" s="904"/>
      <c r="W180" s="904"/>
    </row>
    <row r="181" spans="9:23" s="848" customFormat="1" x14ac:dyDescent="0.25">
      <c r="I181"/>
      <c r="J181"/>
      <c r="K181"/>
      <c r="L181"/>
      <c r="M181"/>
      <c r="N181"/>
      <c r="O181"/>
      <c r="P181"/>
      <c r="Q181"/>
      <c r="V181" s="904"/>
      <c r="W181" s="904"/>
    </row>
    <row r="182" spans="9:23" s="848" customFormat="1" x14ac:dyDescent="0.25">
      <c r="I182"/>
      <c r="J182"/>
      <c r="K182"/>
      <c r="L182"/>
      <c r="M182"/>
      <c r="N182"/>
      <c r="O182"/>
      <c r="P182"/>
      <c r="Q182"/>
      <c r="V182" s="904"/>
      <c r="W182" s="904"/>
    </row>
    <row r="183" spans="9:23" s="848" customFormat="1" x14ac:dyDescent="0.25">
      <c r="I183"/>
      <c r="J183"/>
      <c r="K183"/>
      <c r="L183"/>
      <c r="M183"/>
      <c r="N183"/>
      <c r="O183"/>
      <c r="P183"/>
      <c r="Q183"/>
      <c r="V183" s="904"/>
      <c r="W183" s="904"/>
    </row>
    <row r="184" spans="9:23" s="848" customFormat="1" x14ac:dyDescent="0.25">
      <c r="I184"/>
      <c r="J184"/>
      <c r="K184"/>
      <c r="L184"/>
      <c r="M184"/>
      <c r="N184"/>
      <c r="O184"/>
      <c r="P184"/>
      <c r="Q184"/>
      <c r="V184" s="904"/>
      <c r="W184" s="904"/>
    </row>
    <row r="185" spans="9:23" s="848" customFormat="1" x14ac:dyDescent="0.25">
      <c r="I185"/>
      <c r="J185"/>
      <c r="K185"/>
      <c r="L185"/>
      <c r="M185"/>
      <c r="N185"/>
      <c r="O185"/>
      <c r="P185"/>
      <c r="Q185"/>
      <c r="V185" s="904"/>
      <c r="W185" s="904"/>
    </row>
    <row r="186" spans="9:23" s="848" customFormat="1" x14ac:dyDescent="0.25">
      <c r="I186"/>
      <c r="J186"/>
      <c r="K186"/>
      <c r="L186"/>
      <c r="M186"/>
      <c r="N186"/>
      <c r="O186"/>
      <c r="P186"/>
      <c r="Q186"/>
      <c r="V186" s="904"/>
      <c r="W186" s="904"/>
    </row>
    <row r="187" spans="9:23" s="848" customFormat="1" x14ac:dyDescent="0.25">
      <c r="I187"/>
      <c r="J187"/>
      <c r="K187"/>
      <c r="L187"/>
      <c r="M187"/>
      <c r="N187"/>
      <c r="O187"/>
      <c r="P187"/>
      <c r="Q187"/>
      <c r="V187" s="904"/>
      <c r="W187" s="904"/>
    </row>
    <row r="188" spans="9:23" s="848" customFormat="1" x14ac:dyDescent="0.25">
      <c r="I188"/>
      <c r="J188"/>
      <c r="K188"/>
      <c r="L188"/>
      <c r="M188"/>
      <c r="N188"/>
      <c r="O188"/>
      <c r="P188"/>
      <c r="Q188"/>
      <c r="V188" s="904"/>
      <c r="W188" s="904"/>
    </row>
    <row r="189" spans="9:23" s="848" customFormat="1" x14ac:dyDescent="0.25">
      <c r="I189"/>
      <c r="J189"/>
      <c r="K189"/>
      <c r="L189"/>
      <c r="M189"/>
      <c r="N189"/>
      <c r="O189"/>
      <c r="P189"/>
      <c r="Q189"/>
      <c r="V189" s="904"/>
      <c r="W189" s="904"/>
    </row>
    <row r="190" spans="9:23" s="848" customFormat="1" x14ac:dyDescent="0.25">
      <c r="I190"/>
      <c r="J190"/>
      <c r="K190"/>
      <c r="L190"/>
      <c r="M190"/>
      <c r="N190"/>
      <c r="O190"/>
      <c r="P190"/>
      <c r="Q190"/>
      <c r="V190" s="904"/>
      <c r="W190" s="904"/>
    </row>
    <row r="191" spans="9:23" x14ac:dyDescent="0.25">
      <c r="V191" s="904"/>
      <c r="W191" s="904"/>
    </row>
    <row r="192" spans="9:23" x14ac:dyDescent="0.25">
      <c r="V192" s="904"/>
      <c r="W192" s="904"/>
    </row>
    <row r="193" spans="22:23" x14ac:dyDescent="0.25">
      <c r="V193" s="904"/>
      <c r="W193" s="904"/>
    </row>
    <row r="194" spans="22:23" x14ac:dyDescent="0.25">
      <c r="V194" s="904"/>
      <c r="W194" s="904"/>
    </row>
    <row r="195" spans="22:23" x14ac:dyDescent="0.25">
      <c r="V195" s="904"/>
      <c r="W195" s="904"/>
    </row>
    <row r="196" spans="22:23" x14ac:dyDescent="0.25">
      <c r="V196" s="904"/>
      <c r="W196" s="904"/>
    </row>
    <row r="197" spans="22:23" x14ac:dyDescent="0.25">
      <c r="V197" s="904"/>
      <c r="W197" s="904"/>
    </row>
    <row r="198" spans="22:23" x14ac:dyDescent="0.25">
      <c r="V198" s="904"/>
      <c r="W198" s="904"/>
    </row>
    <row r="199" spans="22:23" x14ac:dyDescent="0.25">
      <c r="V199" s="904"/>
      <c r="W199" s="904"/>
    </row>
    <row r="200" spans="22:23" x14ac:dyDescent="0.25">
      <c r="V200" s="904"/>
      <c r="W200" s="904"/>
    </row>
    <row r="201" spans="22:23" x14ac:dyDescent="0.25">
      <c r="V201" s="904"/>
      <c r="W201" s="904"/>
    </row>
    <row r="202" spans="22:23" x14ac:dyDescent="0.25">
      <c r="V202" s="904"/>
      <c r="W202" s="904"/>
    </row>
    <row r="203" spans="22:23" x14ac:dyDescent="0.25">
      <c r="V203" s="904"/>
      <c r="W203" s="904"/>
    </row>
    <row r="204" spans="22:23" x14ac:dyDescent="0.25">
      <c r="V204" s="904"/>
      <c r="W204" s="904"/>
    </row>
    <row r="205" spans="22:23" x14ac:dyDescent="0.25">
      <c r="V205" s="904"/>
      <c r="W205" s="904"/>
    </row>
    <row r="206" spans="22:23" x14ac:dyDescent="0.25">
      <c r="V206" s="904"/>
      <c r="W206" s="904"/>
    </row>
    <row r="207" spans="22:23" x14ac:dyDescent="0.25">
      <c r="V207" s="904"/>
      <c r="W207" s="904"/>
    </row>
    <row r="208" spans="22:23" x14ac:dyDescent="0.25">
      <c r="V208" s="904"/>
      <c r="W208" s="904"/>
    </row>
    <row r="209" spans="22:23" x14ac:dyDescent="0.25">
      <c r="V209" s="904"/>
      <c r="W209" s="904"/>
    </row>
    <row r="210" spans="22:23" x14ac:dyDescent="0.25">
      <c r="V210" s="904"/>
      <c r="W210" s="904"/>
    </row>
    <row r="211" spans="22:23" x14ac:dyDescent="0.25">
      <c r="V211" s="904"/>
      <c r="W211" s="904"/>
    </row>
    <row r="212" spans="22:23" x14ac:dyDescent="0.25">
      <c r="V212" s="904"/>
      <c r="W212" s="904"/>
    </row>
    <row r="213" spans="22:23" x14ac:dyDescent="0.25">
      <c r="V213" s="904"/>
      <c r="W213" s="904"/>
    </row>
    <row r="214" spans="22:23" x14ac:dyDescent="0.25">
      <c r="V214" s="904"/>
      <c r="W214" s="904"/>
    </row>
    <row r="215" spans="22:23" x14ac:dyDescent="0.25">
      <c r="V215" s="904"/>
      <c r="W215" s="904"/>
    </row>
    <row r="216" spans="22:23" x14ac:dyDescent="0.25">
      <c r="V216" s="904"/>
      <c r="W216" s="904"/>
    </row>
    <row r="217" spans="22:23" x14ac:dyDescent="0.25">
      <c r="V217" s="904"/>
      <c r="W217" s="904"/>
    </row>
  </sheetData>
  <sheetProtection algorithmName="SHA-512" hashValue="/GMGlclA+idXmGrOqdPvNrZoQy4TztWPbWlcTyxyF+02OCFNpPwyAPTD9CrYTLj0RZRfxuf1yASmZCdi5Oo0uQ==" saltValue="DfSnMg0qBwM8DZ5NkpRrvw==" spinCount="100000" sheet="1" objects="1" scenarios="1"/>
  <pageMargins left="0.25" right="0.25" top="0.75" bottom="0.75" header="0.3" footer="0.3"/>
  <pageSetup scale="3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D6A02-D910-4AD4-B88F-ABC74AD61740}">
  <sheetPr>
    <outlinePr summaryBelow="0"/>
    <pageSetUpPr fitToPage="1"/>
  </sheetPr>
  <dimension ref="B1:X177"/>
  <sheetViews>
    <sheetView showGridLines="0" zoomScale="90" zoomScaleNormal="90" workbookViewId="0">
      <selection activeCell="L72" sqref="L72"/>
    </sheetView>
  </sheetViews>
  <sheetFormatPr defaultRowHeight="15" outlineLevelCol="2" x14ac:dyDescent="0.25"/>
  <cols>
    <col min="1" max="1" width="2.7109375" customWidth="1"/>
    <col min="2" max="3" width="10.85546875" hidden="1" customWidth="1" outlineLevel="2"/>
    <col min="4" max="4" width="2.7109375" hidden="1" customWidth="1" outlineLevel="2"/>
    <col min="5" max="5" width="13.85546875" hidden="1" customWidth="1" outlineLevel="2"/>
    <col min="6" max="6" width="2.7109375" hidden="1" customWidth="1" outlineLevel="2"/>
    <col min="7" max="8" width="11.28515625" hidden="1" customWidth="1" outlineLevel="2"/>
    <col min="9" max="9" width="2.7109375" hidden="1" customWidth="1" outlineLevel="2"/>
    <col min="10" max="10" width="11.28515625" hidden="1" customWidth="1" outlineLevel="2"/>
    <col min="11" max="11" width="2.7109375" hidden="1" customWidth="1" outlineLevel="2"/>
    <col min="12" max="12" width="16.85546875" customWidth="1" collapsed="1"/>
    <col min="13" max="13" width="20.7109375" customWidth="1"/>
    <col min="14" max="14" width="17.42578125" customWidth="1"/>
    <col min="15" max="15" width="16.85546875" customWidth="1"/>
    <col min="16" max="16" width="18.7109375" customWidth="1"/>
    <col min="17" max="17" width="13.7109375" customWidth="1"/>
    <col min="18" max="23" width="13.7109375" hidden="1" customWidth="1" outlineLevel="1"/>
    <col min="24" max="24" width="13.7109375" customWidth="1" collapsed="1"/>
    <col min="25" max="31" width="13.7109375" customWidth="1"/>
  </cols>
  <sheetData>
    <row r="1" spans="2:22" ht="8.1" customHeight="1" x14ac:dyDescent="0.25"/>
    <row r="2" spans="2:22" ht="21" x14ac:dyDescent="0.35">
      <c r="B2" s="385" t="s">
        <v>1131</v>
      </c>
      <c r="L2" s="1" t="s">
        <v>957</v>
      </c>
    </row>
    <row r="3" spans="2:22" ht="15.75" x14ac:dyDescent="0.25">
      <c r="B3" s="13"/>
      <c r="L3" s="9" t="s">
        <v>495</v>
      </c>
    </row>
    <row r="4" spans="2:22" ht="15.75" thickBot="1" x14ac:dyDescent="0.3">
      <c r="B4" s="13"/>
      <c r="L4" s="18"/>
    </row>
    <row r="5" spans="2:22" s="848" customFormat="1" x14ac:dyDescent="0.25">
      <c r="B5" s="945" t="s">
        <v>926</v>
      </c>
      <c r="C5" s="907">
        <v>1E-3</v>
      </c>
      <c r="D5" s="911"/>
      <c r="E5" s="934" t="s">
        <v>955</v>
      </c>
      <c r="G5" s="947" t="s">
        <v>959</v>
      </c>
      <c r="H5" s="947" t="s">
        <v>960</v>
      </c>
      <c r="I5"/>
      <c r="J5"/>
      <c r="K5" s="910"/>
      <c r="L5" s="770" t="str">
        <f>_xlfn.CONCAT($B5," (",(TEXT(C5,".000")),E5," Increments)")</f>
        <v>Inch Sets (.001" Increments)</v>
      </c>
      <c r="M5" s="770"/>
      <c r="N5" s="770"/>
      <c r="O5" s="770"/>
      <c r="P5" s="879"/>
      <c r="R5"/>
    </row>
    <row r="6" spans="2:22" s="910" customFormat="1" x14ac:dyDescent="0.25">
      <c r="B6" s="914"/>
      <c r="C6" s="912"/>
      <c r="D6" s="911"/>
      <c r="G6" s="912"/>
      <c r="H6" s="912"/>
      <c r="I6" s="80"/>
      <c r="J6" s="80"/>
      <c r="L6" s="935" t="s">
        <v>958</v>
      </c>
      <c r="M6" s="929" t="s">
        <v>3</v>
      </c>
      <c r="N6" s="943" t="s">
        <v>11</v>
      </c>
      <c r="O6" s="929" t="s">
        <v>563</v>
      </c>
      <c r="P6" s="937" t="s">
        <v>569</v>
      </c>
      <c r="R6" s="80"/>
    </row>
    <row r="7" spans="2:22" s="848" customFormat="1" x14ac:dyDescent="0.25">
      <c r="B7" s="907">
        <v>1.0999999999999999E-2</v>
      </c>
      <c r="C7" s="907">
        <v>0.06</v>
      </c>
      <c r="E7" s="848" t="s">
        <v>930</v>
      </c>
      <c r="F7" s="934"/>
      <c r="G7" s="946">
        <v>8</v>
      </c>
      <c r="H7" s="946">
        <v>10</v>
      </c>
      <c r="I7"/>
      <c r="J7"/>
      <c r="L7" s="939" t="s">
        <v>88</v>
      </c>
      <c r="M7" s="921" t="str">
        <f t="shared" ref="M7:M42" si="0">_xlfn.CONCAT(TEXT($B7,"#.000#"),"""","  to  ",TEXT($C7,"#.000#"),"""")</f>
        <v>.011"  to  .060"</v>
      </c>
      <c r="N7" s="905">
        <v>50</v>
      </c>
      <c r="O7" s="925">
        <f>MROUND(PRODUCT($G7,$N7),10)</f>
        <v>400</v>
      </c>
      <c r="P7" s="917">
        <f t="shared" ref="P7:P42" si="1">MROUND(PRODUCT($H7,$N7),10)</f>
        <v>500</v>
      </c>
      <c r="R7" t="s">
        <v>1073</v>
      </c>
      <c r="S7" s="464">
        <f>$O7</f>
        <v>400</v>
      </c>
      <c r="U7" s="848" t="s">
        <v>1074</v>
      </c>
      <c r="V7" s="464">
        <f>$P7</f>
        <v>500</v>
      </c>
    </row>
    <row r="8" spans="2:22" s="848" customFormat="1" x14ac:dyDescent="0.25">
      <c r="B8" s="907">
        <v>1.0999999999999999E-2</v>
      </c>
      <c r="C8" s="907">
        <v>0.06</v>
      </c>
      <c r="E8" s="848" t="s">
        <v>930</v>
      </c>
      <c r="F8" s="934"/>
      <c r="G8" s="904">
        <f>G7</f>
        <v>8</v>
      </c>
      <c r="H8" s="904">
        <f>H7</f>
        <v>10</v>
      </c>
      <c r="I8"/>
      <c r="J8"/>
      <c r="L8" s="939" t="s">
        <v>89</v>
      </c>
      <c r="M8" s="921" t="str">
        <f t="shared" si="0"/>
        <v>.011"  to  .060"</v>
      </c>
      <c r="N8" s="905">
        <v>50</v>
      </c>
      <c r="O8" s="925">
        <f t="shared" ref="O8:O42" si="2">MROUND(PRODUCT($G8,$N8),10)</f>
        <v>400</v>
      </c>
      <c r="P8" s="917">
        <f t="shared" si="1"/>
        <v>500</v>
      </c>
      <c r="R8" t="str">
        <f>R7</f>
        <v>CAL-M0X-NEW</v>
      </c>
      <c r="S8" s="464">
        <f t="shared" ref="S8:S42" si="3">$O8</f>
        <v>400</v>
      </c>
      <c r="U8" s="848" t="str">
        <f>U7</f>
        <v>CAL-M0X-CUST</v>
      </c>
      <c r="V8" s="464">
        <f t="shared" ref="V8:V42" si="4">$P8</f>
        <v>500</v>
      </c>
    </row>
    <row r="9" spans="2:22" s="848" customFormat="1" x14ac:dyDescent="0.25">
      <c r="B9" s="907">
        <v>1.15E-2</v>
      </c>
      <c r="C9" s="907">
        <v>6.0499999999999998E-2</v>
      </c>
      <c r="E9" s="848" t="s">
        <v>931</v>
      </c>
      <c r="F9" s="934"/>
      <c r="G9" s="904">
        <f t="shared" ref="G9:G42" si="5">G8</f>
        <v>8</v>
      </c>
      <c r="H9" s="904">
        <f t="shared" ref="H9:H42" si="6">H8</f>
        <v>10</v>
      </c>
      <c r="I9"/>
      <c r="J9"/>
      <c r="L9" s="918" t="s">
        <v>90</v>
      </c>
      <c r="M9" s="922" t="str">
        <f t="shared" si="0"/>
        <v>.0115"  to  .0605"</v>
      </c>
      <c r="N9" s="915">
        <v>50</v>
      </c>
      <c r="O9" s="926">
        <f t="shared" si="2"/>
        <v>400</v>
      </c>
      <c r="P9" s="919">
        <f t="shared" si="1"/>
        <v>500</v>
      </c>
      <c r="R9" t="s">
        <v>1075</v>
      </c>
      <c r="S9" s="464">
        <f t="shared" si="3"/>
        <v>400</v>
      </c>
      <c r="U9" s="848" t="s">
        <v>1076</v>
      </c>
      <c r="V9" s="464">
        <f t="shared" si="4"/>
        <v>500</v>
      </c>
    </row>
    <row r="10" spans="2:22" s="848" customFormat="1" x14ac:dyDescent="0.25">
      <c r="B10" s="907">
        <v>1.15E-2</v>
      </c>
      <c r="C10" s="907">
        <v>6.0499999999999998E-2</v>
      </c>
      <c r="E10" s="848" t="s">
        <v>931</v>
      </c>
      <c r="F10" s="934"/>
      <c r="G10" s="904">
        <f t="shared" si="5"/>
        <v>8</v>
      </c>
      <c r="H10" s="904">
        <f t="shared" si="6"/>
        <v>10</v>
      </c>
      <c r="I10"/>
      <c r="J10"/>
      <c r="L10" s="940" t="s">
        <v>91</v>
      </c>
      <c r="M10" s="923" t="str">
        <f t="shared" si="0"/>
        <v>.0115"  to  .0605"</v>
      </c>
      <c r="N10" s="916">
        <v>50</v>
      </c>
      <c r="O10" s="927">
        <f t="shared" si="2"/>
        <v>400</v>
      </c>
      <c r="P10" s="246">
        <f t="shared" si="1"/>
        <v>500</v>
      </c>
      <c r="R10" t="str">
        <f t="shared" ref="R10" si="7">R9</f>
        <v>CAL-M05X-NEW</v>
      </c>
      <c r="S10" s="464">
        <f t="shared" si="3"/>
        <v>400</v>
      </c>
      <c r="U10" s="848" t="str">
        <f t="shared" ref="U10" si="8">U9</f>
        <v>CAL-M05X-CUST</v>
      </c>
      <c r="V10" s="464">
        <f t="shared" si="4"/>
        <v>500</v>
      </c>
    </row>
    <row r="11" spans="2:22" s="848" customFormat="1" x14ac:dyDescent="0.25">
      <c r="B11" s="907">
        <v>1.0999999999999999E-2</v>
      </c>
      <c r="C11" s="907">
        <v>0.25</v>
      </c>
      <c r="E11" s="848" t="s">
        <v>932</v>
      </c>
      <c r="F11" s="934"/>
      <c r="G11" s="904">
        <f t="shared" si="5"/>
        <v>8</v>
      </c>
      <c r="H11" s="904">
        <f t="shared" si="6"/>
        <v>10</v>
      </c>
      <c r="I11"/>
      <c r="J11"/>
      <c r="L11" s="939" t="s">
        <v>96</v>
      </c>
      <c r="M11" s="921" t="str">
        <f t="shared" si="0"/>
        <v>.011"  to  .250"</v>
      </c>
      <c r="N11" s="905">
        <v>240</v>
      </c>
      <c r="O11" s="925">
        <f t="shared" si="2"/>
        <v>1920</v>
      </c>
      <c r="P11" s="917">
        <f t="shared" si="1"/>
        <v>2400</v>
      </c>
      <c r="R11" t="s">
        <v>1077</v>
      </c>
      <c r="S11" s="464">
        <f t="shared" si="3"/>
        <v>1920</v>
      </c>
      <c r="U11" s="848" t="s">
        <v>1078</v>
      </c>
      <c r="V11" s="464">
        <f t="shared" si="4"/>
        <v>2400</v>
      </c>
    </row>
    <row r="12" spans="2:22" s="848" customFormat="1" x14ac:dyDescent="0.25">
      <c r="B12" s="907">
        <v>1.0999999999999999E-2</v>
      </c>
      <c r="C12" s="907">
        <v>0.25</v>
      </c>
      <c r="E12" s="848" t="s">
        <v>932</v>
      </c>
      <c r="F12" s="934"/>
      <c r="G12" s="904">
        <f t="shared" si="5"/>
        <v>8</v>
      </c>
      <c r="H12" s="904">
        <f t="shared" si="6"/>
        <v>10</v>
      </c>
      <c r="I12"/>
      <c r="J12"/>
      <c r="L12" s="939" t="s">
        <v>97</v>
      </c>
      <c r="M12" s="921" t="str">
        <f t="shared" si="0"/>
        <v>.011"  to  .250"</v>
      </c>
      <c r="N12" s="905">
        <v>240</v>
      </c>
      <c r="O12" s="925">
        <f t="shared" si="2"/>
        <v>1920</v>
      </c>
      <c r="P12" s="917">
        <f t="shared" si="1"/>
        <v>2400</v>
      </c>
      <c r="R12" t="str">
        <f t="shared" ref="R12" si="9">R11</f>
        <v>CAL-C10X-NEW</v>
      </c>
      <c r="S12" s="464">
        <f t="shared" si="3"/>
        <v>1920</v>
      </c>
      <c r="U12" s="848" t="str">
        <f t="shared" ref="U12" si="10">U11</f>
        <v>CAL-C10X-CUST</v>
      </c>
      <c r="V12" s="464">
        <f t="shared" si="4"/>
        <v>2400</v>
      </c>
    </row>
    <row r="13" spans="2:22" s="848" customFormat="1" x14ac:dyDescent="0.25">
      <c r="B13" s="907">
        <v>1.15E-2</v>
      </c>
      <c r="C13" s="907">
        <v>0.2505</v>
      </c>
      <c r="E13" s="848" t="s">
        <v>933</v>
      </c>
      <c r="F13" s="934"/>
      <c r="G13" s="904">
        <f t="shared" si="5"/>
        <v>8</v>
      </c>
      <c r="H13" s="904">
        <f t="shared" si="6"/>
        <v>10</v>
      </c>
      <c r="I13"/>
      <c r="J13"/>
      <c r="L13" s="918" t="s">
        <v>98</v>
      </c>
      <c r="M13" s="922" t="str">
        <f t="shared" si="0"/>
        <v>.0115"  to  .2505"</v>
      </c>
      <c r="N13" s="915">
        <v>240</v>
      </c>
      <c r="O13" s="926">
        <f t="shared" si="2"/>
        <v>1920</v>
      </c>
      <c r="P13" s="919">
        <f t="shared" si="1"/>
        <v>2400</v>
      </c>
      <c r="R13" t="s">
        <v>1079</v>
      </c>
      <c r="S13" s="464">
        <f t="shared" si="3"/>
        <v>1920</v>
      </c>
      <c r="U13" s="848" t="s">
        <v>1080</v>
      </c>
      <c r="V13" s="464">
        <f t="shared" si="4"/>
        <v>2400</v>
      </c>
    </row>
    <row r="14" spans="2:22" s="848" customFormat="1" x14ac:dyDescent="0.25">
      <c r="B14" s="907">
        <v>1.15E-2</v>
      </c>
      <c r="C14" s="907">
        <v>0.2505</v>
      </c>
      <c r="E14" s="848" t="s">
        <v>933</v>
      </c>
      <c r="F14" s="934"/>
      <c r="G14" s="904">
        <f t="shared" si="5"/>
        <v>8</v>
      </c>
      <c r="H14" s="904">
        <f t="shared" si="6"/>
        <v>10</v>
      </c>
      <c r="I14"/>
      <c r="J14"/>
      <c r="L14" s="940" t="s">
        <v>99</v>
      </c>
      <c r="M14" s="923" t="str">
        <f t="shared" si="0"/>
        <v>.0115"  to  .2505"</v>
      </c>
      <c r="N14" s="916">
        <v>240</v>
      </c>
      <c r="O14" s="927">
        <f t="shared" si="2"/>
        <v>1920</v>
      </c>
      <c r="P14" s="246">
        <f t="shared" si="1"/>
        <v>2400</v>
      </c>
      <c r="R14" t="str">
        <f t="shared" ref="R14" si="11">R13</f>
        <v>CAL-C105X-NEW</v>
      </c>
      <c r="S14" s="464">
        <f t="shared" si="3"/>
        <v>1920</v>
      </c>
      <c r="U14" s="848" t="str">
        <f t="shared" ref="U14" si="12">U13</f>
        <v>CAL-C105X-CUST</v>
      </c>
      <c r="V14" s="464">
        <f t="shared" si="4"/>
        <v>2400</v>
      </c>
    </row>
    <row r="15" spans="2:22" s="848" customFormat="1" x14ac:dyDescent="0.25">
      <c r="B15" s="907">
        <v>6.0999999999999999E-2</v>
      </c>
      <c r="C15" s="907">
        <v>0.25</v>
      </c>
      <c r="E15" s="848" t="s">
        <v>934</v>
      </c>
      <c r="F15" s="934"/>
      <c r="G15" s="904">
        <f t="shared" si="5"/>
        <v>8</v>
      </c>
      <c r="H15" s="904">
        <f t="shared" si="6"/>
        <v>10</v>
      </c>
      <c r="I15"/>
      <c r="J15"/>
      <c r="L15" s="939" t="s">
        <v>92</v>
      </c>
      <c r="M15" s="921" t="str">
        <f t="shared" si="0"/>
        <v>.061"  to  .250"</v>
      </c>
      <c r="N15" s="905">
        <v>190</v>
      </c>
      <c r="O15" s="925">
        <f t="shared" si="2"/>
        <v>1520</v>
      </c>
      <c r="P15" s="917">
        <f t="shared" si="1"/>
        <v>1900</v>
      </c>
      <c r="R15" t="s">
        <v>1081</v>
      </c>
      <c r="S15" s="464">
        <f t="shared" si="3"/>
        <v>1520</v>
      </c>
      <c r="U15" s="848" t="s">
        <v>1082</v>
      </c>
      <c r="V15" s="464">
        <f t="shared" si="4"/>
        <v>1900</v>
      </c>
    </row>
    <row r="16" spans="2:22" s="848" customFormat="1" x14ac:dyDescent="0.25">
      <c r="B16" s="907">
        <v>6.0999999999999999E-2</v>
      </c>
      <c r="C16" s="907">
        <v>0.25</v>
      </c>
      <c r="E16" s="848" t="s">
        <v>934</v>
      </c>
      <c r="F16" s="934"/>
      <c r="G16" s="904">
        <f t="shared" si="5"/>
        <v>8</v>
      </c>
      <c r="H16" s="904">
        <f t="shared" si="6"/>
        <v>10</v>
      </c>
      <c r="I16"/>
      <c r="J16"/>
      <c r="L16" s="939" t="s">
        <v>93</v>
      </c>
      <c r="M16" s="921" t="str">
        <f t="shared" si="0"/>
        <v>.061"  to  .250"</v>
      </c>
      <c r="N16" s="905">
        <v>190</v>
      </c>
      <c r="O16" s="925">
        <f t="shared" si="2"/>
        <v>1520</v>
      </c>
      <c r="P16" s="917">
        <f t="shared" si="1"/>
        <v>1900</v>
      </c>
      <c r="R16" t="str">
        <f t="shared" ref="R16" si="13">R15</f>
        <v>CAL-M1X-NEW</v>
      </c>
      <c r="S16" s="464">
        <f t="shared" si="3"/>
        <v>1520</v>
      </c>
      <c r="U16" s="848" t="str">
        <f t="shared" ref="U16" si="14">U15</f>
        <v>CAL-M1X-CUST</v>
      </c>
      <c r="V16" s="464">
        <f t="shared" si="4"/>
        <v>1900</v>
      </c>
    </row>
    <row r="17" spans="2:22" s="848" customFormat="1" x14ac:dyDescent="0.25">
      <c r="B17" s="907">
        <v>6.1499999999999999E-2</v>
      </c>
      <c r="C17" s="907">
        <v>0.2505</v>
      </c>
      <c r="E17" s="848" t="s">
        <v>935</v>
      </c>
      <c r="F17" s="934"/>
      <c r="G17" s="904">
        <f t="shared" si="5"/>
        <v>8</v>
      </c>
      <c r="H17" s="904">
        <f t="shared" si="6"/>
        <v>10</v>
      </c>
      <c r="I17"/>
      <c r="J17"/>
      <c r="L17" s="918" t="s">
        <v>94</v>
      </c>
      <c r="M17" s="922" t="str">
        <f t="shared" si="0"/>
        <v>.0615"  to  .2505"</v>
      </c>
      <c r="N17" s="915">
        <v>190</v>
      </c>
      <c r="O17" s="926">
        <f t="shared" si="2"/>
        <v>1520</v>
      </c>
      <c r="P17" s="919">
        <f t="shared" si="1"/>
        <v>1900</v>
      </c>
      <c r="R17" t="s">
        <v>1083</v>
      </c>
      <c r="S17" s="464">
        <f t="shared" si="3"/>
        <v>1520</v>
      </c>
      <c r="U17" s="848" t="s">
        <v>1084</v>
      </c>
      <c r="V17" s="464">
        <f t="shared" si="4"/>
        <v>1900</v>
      </c>
    </row>
    <row r="18" spans="2:22" s="848" customFormat="1" x14ac:dyDescent="0.25">
      <c r="B18" s="907">
        <v>6.1499999999999999E-2</v>
      </c>
      <c r="C18" s="907">
        <v>0.2505</v>
      </c>
      <c r="E18" s="848" t="s">
        <v>935</v>
      </c>
      <c r="F18" s="934"/>
      <c r="G18" s="904">
        <f t="shared" si="5"/>
        <v>8</v>
      </c>
      <c r="H18" s="904">
        <f t="shared" si="6"/>
        <v>10</v>
      </c>
      <c r="I18"/>
      <c r="J18"/>
      <c r="L18" s="940" t="s">
        <v>95</v>
      </c>
      <c r="M18" s="923" t="str">
        <f t="shared" si="0"/>
        <v>.0615"  to  .2505"</v>
      </c>
      <c r="N18" s="916">
        <v>190</v>
      </c>
      <c r="O18" s="927">
        <f t="shared" si="2"/>
        <v>1520</v>
      </c>
      <c r="P18" s="246">
        <f t="shared" si="1"/>
        <v>1900</v>
      </c>
      <c r="R18" t="str">
        <f t="shared" ref="R18" si="15">R17</f>
        <v>CAL-M15X-NEW</v>
      </c>
      <c r="S18" s="464">
        <f t="shared" si="3"/>
        <v>1520</v>
      </c>
      <c r="U18" s="848" t="str">
        <f t="shared" ref="U18" si="16">U17</f>
        <v>CAL-M15X-CUST</v>
      </c>
      <c r="V18" s="464">
        <f t="shared" si="4"/>
        <v>1900</v>
      </c>
    </row>
    <row r="19" spans="2:22" s="848" customFormat="1" x14ac:dyDescent="0.25">
      <c r="B19" s="907">
        <v>0.251</v>
      </c>
      <c r="C19" s="907">
        <v>0.5</v>
      </c>
      <c r="E19" s="848" t="s">
        <v>936</v>
      </c>
      <c r="F19" s="934"/>
      <c r="G19" s="904">
        <f t="shared" si="5"/>
        <v>8</v>
      </c>
      <c r="H19" s="904">
        <f t="shared" si="6"/>
        <v>10</v>
      </c>
      <c r="I19"/>
      <c r="J19"/>
      <c r="L19" s="939" t="s">
        <v>100</v>
      </c>
      <c r="M19" s="921" t="str">
        <f t="shared" si="0"/>
        <v>.251"  to  .500"</v>
      </c>
      <c r="N19" s="905">
        <v>250</v>
      </c>
      <c r="O19" s="925">
        <f t="shared" si="2"/>
        <v>2000</v>
      </c>
      <c r="P19" s="917">
        <f t="shared" si="1"/>
        <v>2500</v>
      </c>
      <c r="R19" t="s">
        <v>1085</v>
      </c>
      <c r="S19" s="464">
        <f t="shared" si="3"/>
        <v>2000</v>
      </c>
      <c r="U19" s="848" t="s">
        <v>1086</v>
      </c>
      <c r="V19" s="464">
        <f t="shared" si="4"/>
        <v>2500</v>
      </c>
    </row>
    <row r="20" spans="2:22" s="848" customFormat="1" x14ac:dyDescent="0.25">
      <c r="B20" s="907">
        <v>0.251</v>
      </c>
      <c r="C20" s="907">
        <v>0.5</v>
      </c>
      <c r="E20" s="848" t="s">
        <v>936</v>
      </c>
      <c r="F20" s="934"/>
      <c r="G20" s="904">
        <f t="shared" si="5"/>
        <v>8</v>
      </c>
      <c r="H20" s="904">
        <f t="shared" si="6"/>
        <v>10</v>
      </c>
      <c r="I20"/>
      <c r="J20"/>
      <c r="L20" s="939" t="s">
        <v>101</v>
      </c>
      <c r="M20" s="921" t="str">
        <f t="shared" si="0"/>
        <v>.251"  to  .500"</v>
      </c>
      <c r="N20" s="905">
        <v>250</v>
      </c>
      <c r="O20" s="925">
        <f t="shared" si="2"/>
        <v>2000</v>
      </c>
      <c r="P20" s="917">
        <f t="shared" si="1"/>
        <v>2500</v>
      </c>
      <c r="R20" t="str">
        <f t="shared" ref="R20" si="17">R19</f>
        <v>CAL-M2X-NEW</v>
      </c>
      <c r="S20" s="464">
        <f t="shared" si="3"/>
        <v>2000</v>
      </c>
      <c r="U20" s="848" t="str">
        <f t="shared" ref="U20" si="18">U19</f>
        <v>CAL-M2X-CUST</v>
      </c>
      <c r="V20" s="464">
        <f t="shared" si="4"/>
        <v>2500</v>
      </c>
    </row>
    <row r="21" spans="2:22" s="848" customFormat="1" x14ac:dyDescent="0.25">
      <c r="B21" s="907">
        <v>0.2515</v>
      </c>
      <c r="C21" s="907">
        <v>0.50049999999999994</v>
      </c>
      <c r="E21" s="848" t="s">
        <v>937</v>
      </c>
      <c r="F21" s="934"/>
      <c r="G21" s="904">
        <f t="shared" si="5"/>
        <v>8</v>
      </c>
      <c r="H21" s="904">
        <f t="shared" si="6"/>
        <v>10</v>
      </c>
      <c r="I21"/>
      <c r="J21"/>
      <c r="L21" s="918" t="s">
        <v>102</v>
      </c>
      <c r="M21" s="922" t="str">
        <f t="shared" si="0"/>
        <v>.2515"  to  .5005"</v>
      </c>
      <c r="N21" s="915">
        <v>250</v>
      </c>
      <c r="O21" s="926">
        <f t="shared" si="2"/>
        <v>2000</v>
      </c>
      <c r="P21" s="919">
        <f t="shared" si="1"/>
        <v>2500</v>
      </c>
      <c r="R21" t="s">
        <v>1087</v>
      </c>
      <c r="S21" s="464">
        <f t="shared" si="3"/>
        <v>2000</v>
      </c>
      <c r="U21" s="848" t="s">
        <v>1088</v>
      </c>
      <c r="V21" s="464">
        <f t="shared" si="4"/>
        <v>2500</v>
      </c>
    </row>
    <row r="22" spans="2:22" s="848" customFormat="1" x14ac:dyDescent="0.25">
      <c r="B22" s="907">
        <v>0.2515</v>
      </c>
      <c r="C22" s="907">
        <v>0.50049999999999994</v>
      </c>
      <c r="E22" s="848" t="s">
        <v>937</v>
      </c>
      <c r="F22" s="934"/>
      <c r="G22" s="904">
        <f t="shared" si="5"/>
        <v>8</v>
      </c>
      <c r="H22" s="904">
        <f t="shared" si="6"/>
        <v>10</v>
      </c>
      <c r="I22"/>
      <c r="J22"/>
      <c r="L22" s="940" t="s">
        <v>103</v>
      </c>
      <c r="M22" s="923" t="str">
        <f t="shared" si="0"/>
        <v>.2515"  to  .5005"</v>
      </c>
      <c r="N22" s="916">
        <v>250</v>
      </c>
      <c r="O22" s="927">
        <f t="shared" si="2"/>
        <v>2000</v>
      </c>
      <c r="P22" s="246">
        <f t="shared" si="1"/>
        <v>2500</v>
      </c>
      <c r="R22" t="str">
        <f t="shared" ref="R22" si="19">R21</f>
        <v>CAL-M25X-NEW</v>
      </c>
      <c r="S22" s="464">
        <f t="shared" si="3"/>
        <v>2000</v>
      </c>
      <c r="U22" s="848" t="str">
        <f t="shared" ref="U22" si="20">U21</f>
        <v>CAL-M25X-CUST</v>
      </c>
      <c r="V22" s="464">
        <f t="shared" si="4"/>
        <v>2500</v>
      </c>
    </row>
    <row r="23" spans="2:22" s="848" customFormat="1" x14ac:dyDescent="0.25">
      <c r="B23" s="907">
        <v>0.501</v>
      </c>
      <c r="C23" s="907">
        <v>0.625</v>
      </c>
      <c r="E23" s="848" t="s">
        <v>938</v>
      </c>
      <c r="F23" s="934"/>
      <c r="G23" s="904">
        <f t="shared" si="5"/>
        <v>8</v>
      </c>
      <c r="H23" s="904">
        <f t="shared" si="6"/>
        <v>10</v>
      </c>
      <c r="I23"/>
      <c r="J23"/>
      <c r="L23" s="939" t="s">
        <v>104</v>
      </c>
      <c r="M23" s="921" t="str">
        <f t="shared" si="0"/>
        <v>.501"  to  .625"</v>
      </c>
      <c r="N23" s="905">
        <v>125</v>
      </c>
      <c r="O23" s="925">
        <f t="shared" si="2"/>
        <v>1000</v>
      </c>
      <c r="P23" s="917">
        <f t="shared" si="1"/>
        <v>1250</v>
      </c>
      <c r="R23" t="s">
        <v>1089</v>
      </c>
      <c r="S23" s="464">
        <f t="shared" si="3"/>
        <v>1000</v>
      </c>
      <c r="U23" s="848" t="s">
        <v>1090</v>
      </c>
      <c r="V23" s="464">
        <f t="shared" si="4"/>
        <v>1250</v>
      </c>
    </row>
    <row r="24" spans="2:22" s="848" customFormat="1" x14ac:dyDescent="0.25">
      <c r="B24" s="907">
        <v>0.501</v>
      </c>
      <c r="C24" s="907">
        <v>0.625</v>
      </c>
      <c r="E24" s="848" t="s">
        <v>938</v>
      </c>
      <c r="F24" s="934"/>
      <c r="G24" s="904">
        <f t="shared" si="5"/>
        <v>8</v>
      </c>
      <c r="H24" s="904">
        <f t="shared" si="6"/>
        <v>10</v>
      </c>
      <c r="I24"/>
      <c r="J24"/>
      <c r="L24" s="939" t="s">
        <v>105</v>
      </c>
      <c r="M24" s="921" t="str">
        <f t="shared" si="0"/>
        <v>.501"  to  .625"</v>
      </c>
      <c r="N24" s="905">
        <v>125</v>
      </c>
      <c r="O24" s="925">
        <f t="shared" si="2"/>
        <v>1000</v>
      </c>
      <c r="P24" s="917">
        <f t="shared" si="1"/>
        <v>1250</v>
      </c>
      <c r="R24" t="str">
        <f t="shared" ref="R24" si="21">R23</f>
        <v>CAL-M3X-NEW</v>
      </c>
      <c r="S24" s="464">
        <f t="shared" si="3"/>
        <v>1000</v>
      </c>
      <c r="U24" s="848" t="str">
        <f t="shared" ref="U24" si="22">U23</f>
        <v>CAL-M3X-CUST</v>
      </c>
      <c r="V24" s="464">
        <f t="shared" si="4"/>
        <v>1250</v>
      </c>
    </row>
    <row r="25" spans="2:22" s="848" customFormat="1" x14ac:dyDescent="0.25">
      <c r="B25" s="907">
        <v>0.50149999999999995</v>
      </c>
      <c r="C25" s="907">
        <v>0.62549999999999994</v>
      </c>
      <c r="E25" s="848" t="s">
        <v>939</v>
      </c>
      <c r="F25" s="934"/>
      <c r="G25" s="904">
        <f t="shared" si="5"/>
        <v>8</v>
      </c>
      <c r="H25" s="904">
        <f t="shared" si="6"/>
        <v>10</v>
      </c>
      <c r="I25"/>
      <c r="J25"/>
      <c r="L25" s="918" t="s">
        <v>106</v>
      </c>
      <c r="M25" s="922" t="str">
        <f t="shared" si="0"/>
        <v>.5015"  to  .6255"</v>
      </c>
      <c r="N25" s="915">
        <v>125</v>
      </c>
      <c r="O25" s="926">
        <f t="shared" si="2"/>
        <v>1000</v>
      </c>
      <c r="P25" s="919">
        <f t="shared" si="1"/>
        <v>1250</v>
      </c>
      <c r="R25" t="s">
        <v>1091</v>
      </c>
      <c r="S25" s="464">
        <f t="shared" si="3"/>
        <v>1000</v>
      </c>
      <c r="U25" s="848" t="s">
        <v>1092</v>
      </c>
      <c r="V25" s="464">
        <f t="shared" si="4"/>
        <v>1250</v>
      </c>
    </row>
    <row r="26" spans="2:22" s="848" customFormat="1" x14ac:dyDescent="0.25">
      <c r="B26" s="907">
        <v>0.50149999999999995</v>
      </c>
      <c r="C26" s="907">
        <v>0.62549999999999994</v>
      </c>
      <c r="E26" s="848" t="s">
        <v>939</v>
      </c>
      <c r="F26" s="934"/>
      <c r="G26" s="904">
        <f t="shared" si="5"/>
        <v>8</v>
      </c>
      <c r="H26" s="904">
        <f t="shared" si="6"/>
        <v>10</v>
      </c>
      <c r="I26"/>
      <c r="J26"/>
      <c r="L26" s="940" t="s">
        <v>107</v>
      </c>
      <c r="M26" s="923" t="str">
        <f t="shared" si="0"/>
        <v>.5015"  to  .6255"</v>
      </c>
      <c r="N26" s="916">
        <v>125</v>
      </c>
      <c r="O26" s="927">
        <f t="shared" si="2"/>
        <v>1000</v>
      </c>
      <c r="P26" s="246">
        <f t="shared" si="1"/>
        <v>1250</v>
      </c>
      <c r="R26" t="str">
        <f t="shared" ref="R26" si="23">R25</f>
        <v>CAL-M35X-NEW</v>
      </c>
      <c r="S26" s="464">
        <f t="shared" si="3"/>
        <v>1000</v>
      </c>
      <c r="U26" s="848" t="str">
        <f t="shared" ref="U26" si="24">U25</f>
        <v>CAL-M35X-CUST</v>
      </c>
      <c r="V26" s="464">
        <f t="shared" si="4"/>
        <v>1250</v>
      </c>
    </row>
    <row r="27" spans="2:22" s="848" customFormat="1" x14ac:dyDescent="0.25">
      <c r="B27" s="907">
        <v>0.626</v>
      </c>
      <c r="C27" s="907">
        <v>0.75</v>
      </c>
      <c r="E27" s="848" t="s">
        <v>940</v>
      </c>
      <c r="F27" s="934"/>
      <c r="G27" s="904">
        <f t="shared" si="5"/>
        <v>8</v>
      </c>
      <c r="H27" s="904">
        <f t="shared" si="6"/>
        <v>10</v>
      </c>
      <c r="I27"/>
      <c r="J27"/>
      <c r="L27" s="939" t="s">
        <v>108</v>
      </c>
      <c r="M27" s="921" t="str">
        <f t="shared" si="0"/>
        <v>.626"  to  .750"</v>
      </c>
      <c r="N27" s="905">
        <v>125</v>
      </c>
      <c r="O27" s="925">
        <f t="shared" si="2"/>
        <v>1000</v>
      </c>
      <c r="P27" s="917">
        <f t="shared" si="1"/>
        <v>1250</v>
      </c>
      <c r="R27" t="s">
        <v>1093</v>
      </c>
      <c r="S27" s="464">
        <f t="shared" si="3"/>
        <v>1000</v>
      </c>
      <c r="U27" s="848" t="s">
        <v>1094</v>
      </c>
      <c r="V27" s="464">
        <f t="shared" si="4"/>
        <v>1250</v>
      </c>
    </row>
    <row r="28" spans="2:22" s="848" customFormat="1" x14ac:dyDescent="0.25">
      <c r="B28" s="907">
        <v>0.626</v>
      </c>
      <c r="C28" s="907">
        <v>0.75</v>
      </c>
      <c r="E28" s="848" t="s">
        <v>940</v>
      </c>
      <c r="F28" s="934"/>
      <c r="G28" s="904">
        <f t="shared" si="5"/>
        <v>8</v>
      </c>
      <c r="H28" s="904">
        <f t="shared" si="6"/>
        <v>10</v>
      </c>
      <c r="I28"/>
      <c r="J28"/>
      <c r="L28" s="939" t="s">
        <v>109</v>
      </c>
      <c r="M28" s="921" t="str">
        <f t="shared" si="0"/>
        <v>.626"  to  .750"</v>
      </c>
      <c r="N28" s="905">
        <v>125</v>
      </c>
      <c r="O28" s="925">
        <f t="shared" si="2"/>
        <v>1000</v>
      </c>
      <c r="P28" s="917">
        <f t="shared" si="1"/>
        <v>1250</v>
      </c>
      <c r="R28" t="str">
        <f t="shared" ref="R28" si="25">R27</f>
        <v>CAL-M4X-NEW</v>
      </c>
      <c r="S28" s="464">
        <f t="shared" si="3"/>
        <v>1000</v>
      </c>
      <c r="U28" s="848" t="str">
        <f t="shared" ref="U28" si="26">U27</f>
        <v>CAL-M4X-CUST</v>
      </c>
      <c r="V28" s="464">
        <f t="shared" si="4"/>
        <v>1250</v>
      </c>
    </row>
    <row r="29" spans="2:22" s="848" customFormat="1" x14ac:dyDescent="0.25">
      <c r="B29" s="907">
        <v>0.62649999999999995</v>
      </c>
      <c r="C29" s="907">
        <v>0.75049999999999994</v>
      </c>
      <c r="E29" s="848" t="s">
        <v>941</v>
      </c>
      <c r="F29" s="934"/>
      <c r="G29" s="904">
        <f t="shared" si="5"/>
        <v>8</v>
      </c>
      <c r="H29" s="904">
        <f t="shared" si="6"/>
        <v>10</v>
      </c>
      <c r="I29"/>
      <c r="J29"/>
      <c r="L29" s="918" t="s">
        <v>110</v>
      </c>
      <c r="M29" s="922" t="str">
        <f t="shared" si="0"/>
        <v>.6265"  to  .7505"</v>
      </c>
      <c r="N29" s="915">
        <v>125</v>
      </c>
      <c r="O29" s="926">
        <f t="shared" si="2"/>
        <v>1000</v>
      </c>
      <c r="P29" s="919">
        <f t="shared" si="1"/>
        <v>1250</v>
      </c>
      <c r="R29" t="s">
        <v>1095</v>
      </c>
      <c r="S29" s="464">
        <f t="shared" si="3"/>
        <v>1000</v>
      </c>
      <c r="U29" s="848" t="s">
        <v>1096</v>
      </c>
      <c r="V29" s="464">
        <f t="shared" si="4"/>
        <v>1250</v>
      </c>
    </row>
    <row r="30" spans="2:22" s="848" customFormat="1" x14ac:dyDescent="0.25">
      <c r="B30" s="907">
        <v>0.62649999999999995</v>
      </c>
      <c r="C30" s="907">
        <v>0.75049999999999994</v>
      </c>
      <c r="E30" s="848" t="s">
        <v>941</v>
      </c>
      <c r="F30" s="934"/>
      <c r="G30" s="904">
        <f t="shared" si="5"/>
        <v>8</v>
      </c>
      <c r="H30" s="904">
        <f t="shared" si="6"/>
        <v>10</v>
      </c>
      <c r="I30"/>
      <c r="J30"/>
      <c r="L30" s="940" t="s">
        <v>111</v>
      </c>
      <c r="M30" s="923" t="str">
        <f t="shared" si="0"/>
        <v>.6265"  to  .7505"</v>
      </c>
      <c r="N30" s="916">
        <v>125</v>
      </c>
      <c r="O30" s="927">
        <f t="shared" si="2"/>
        <v>1000</v>
      </c>
      <c r="P30" s="246">
        <f t="shared" si="1"/>
        <v>1250</v>
      </c>
      <c r="R30" t="str">
        <f t="shared" ref="R30" si="27">R29</f>
        <v>CAL-M45X-NEW</v>
      </c>
      <c r="S30" s="464">
        <f t="shared" si="3"/>
        <v>1000</v>
      </c>
      <c r="U30" s="848" t="str">
        <f t="shared" ref="U30" si="28">U29</f>
        <v>CAL-M45X-CUST</v>
      </c>
      <c r="V30" s="464">
        <f t="shared" si="4"/>
        <v>1250</v>
      </c>
    </row>
    <row r="31" spans="2:22" s="848" customFormat="1" x14ac:dyDescent="0.25">
      <c r="B31" s="907">
        <v>0.751</v>
      </c>
      <c r="C31" s="907">
        <v>0.83199999999999996</v>
      </c>
      <c r="E31" s="848" t="s">
        <v>942</v>
      </c>
      <c r="F31" s="934"/>
      <c r="G31" s="904">
        <f t="shared" si="5"/>
        <v>8</v>
      </c>
      <c r="H31" s="904">
        <f t="shared" si="6"/>
        <v>10</v>
      </c>
      <c r="I31"/>
      <c r="J31"/>
      <c r="L31" s="939" t="s">
        <v>112</v>
      </c>
      <c r="M31" s="921" t="str">
        <f t="shared" si="0"/>
        <v>.751"  to  .832"</v>
      </c>
      <c r="N31" s="905">
        <v>82</v>
      </c>
      <c r="O31" s="925">
        <f t="shared" si="2"/>
        <v>660</v>
      </c>
      <c r="P31" s="917">
        <f t="shared" si="1"/>
        <v>820</v>
      </c>
      <c r="R31" t="s">
        <v>1097</v>
      </c>
      <c r="S31" s="464">
        <f t="shared" si="3"/>
        <v>660</v>
      </c>
      <c r="U31" s="848" t="s">
        <v>1098</v>
      </c>
      <c r="V31" s="464">
        <f t="shared" si="4"/>
        <v>820</v>
      </c>
    </row>
    <row r="32" spans="2:22" s="848" customFormat="1" x14ac:dyDescent="0.25">
      <c r="B32" s="907">
        <v>0.751</v>
      </c>
      <c r="C32" s="907">
        <v>0.83199999999999996</v>
      </c>
      <c r="E32" s="848" t="s">
        <v>942</v>
      </c>
      <c r="F32" s="934"/>
      <c r="G32" s="904">
        <f t="shared" si="5"/>
        <v>8</v>
      </c>
      <c r="H32" s="904">
        <f t="shared" si="6"/>
        <v>10</v>
      </c>
      <c r="I32"/>
      <c r="J32"/>
      <c r="L32" s="939" t="s">
        <v>113</v>
      </c>
      <c r="M32" s="921" t="str">
        <f t="shared" si="0"/>
        <v>.751"  to  .832"</v>
      </c>
      <c r="N32" s="905">
        <v>82</v>
      </c>
      <c r="O32" s="925">
        <f t="shared" si="2"/>
        <v>660</v>
      </c>
      <c r="P32" s="917">
        <f t="shared" si="1"/>
        <v>820</v>
      </c>
      <c r="R32" t="str">
        <f t="shared" ref="R32" si="29">R31</f>
        <v>CAL-M5X-NEW</v>
      </c>
      <c r="S32" s="464">
        <f t="shared" si="3"/>
        <v>660</v>
      </c>
      <c r="U32" s="848" t="str">
        <f t="shared" ref="U32" si="30">U31</f>
        <v>CAL-M5X-CUST</v>
      </c>
      <c r="V32" s="464">
        <f t="shared" si="4"/>
        <v>820</v>
      </c>
    </row>
    <row r="33" spans="2:22" s="848" customFormat="1" x14ac:dyDescent="0.25">
      <c r="B33" s="907">
        <v>0.75149999999999995</v>
      </c>
      <c r="C33" s="907">
        <v>0.83250000000000002</v>
      </c>
      <c r="E33" s="848" t="s">
        <v>943</v>
      </c>
      <c r="F33" s="934"/>
      <c r="G33" s="904">
        <f t="shared" si="5"/>
        <v>8</v>
      </c>
      <c r="H33" s="904">
        <f t="shared" si="6"/>
        <v>10</v>
      </c>
      <c r="I33"/>
      <c r="J33"/>
      <c r="L33" s="918" t="s">
        <v>114</v>
      </c>
      <c r="M33" s="922" t="str">
        <f t="shared" si="0"/>
        <v>.7515"  to  .8325"</v>
      </c>
      <c r="N33" s="915">
        <v>82</v>
      </c>
      <c r="O33" s="926">
        <f t="shared" si="2"/>
        <v>660</v>
      </c>
      <c r="P33" s="919">
        <f t="shared" si="1"/>
        <v>820</v>
      </c>
      <c r="R33" t="s">
        <v>1099</v>
      </c>
      <c r="S33" s="464">
        <f t="shared" si="3"/>
        <v>660</v>
      </c>
      <c r="U33" s="848" t="s">
        <v>1100</v>
      </c>
      <c r="V33" s="464">
        <f t="shared" si="4"/>
        <v>820</v>
      </c>
    </row>
    <row r="34" spans="2:22" s="848" customFormat="1" x14ac:dyDescent="0.25">
      <c r="B34" s="907">
        <v>0.75149999999999995</v>
      </c>
      <c r="C34" s="907">
        <v>0.83250000000000002</v>
      </c>
      <c r="E34" s="848" t="s">
        <v>943</v>
      </c>
      <c r="F34" s="934"/>
      <c r="G34" s="904">
        <f t="shared" si="5"/>
        <v>8</v>
      </c>
      <c r="H34" s="904">
        <f t="shared" si="6"/>
        <v>10</v>
      </c>
      <c r="I34"/>
      <c r="J34"/>
      <c r="L34" s="940" t="s">
        <v>115</v>
      </c>
      <c r="M34" s="923" t="str">
        <f t="shared" si="0"/>
        <v>.7515"  to  .8325"</v>
      </c>
      <c r="N34" s="916">
        <v>82</v>
      </c>
      <c r="O34" s="927">
        <f t="shared" si="2"/>
        <v>660</v>
      </c>
      <c r="P34" s="246">
        <f t="shared" si="1"/>
        <v>820</v>
      </c>
      <c r="R34" t="str">
        <f t="shared" ref="R34" si="31">R33</f>
        <v>CAL-M55X-NEW</v>
      </c>
      <c r="S34" s="464">
        <f t="shared" si="3"/>
        <v>660</v>
      </c>
      <c r="U34" s="848" t="str">
        <f t="shared" ref="U34" si="32">U33</f>
        <v>CAL-M55X-CUST</v>
      </c>
      <c r="V34" s="464">
        <f t="shared" si="4"/>
        <v>820</v>
      </c>
    </row>
    <row r="35" spans="2:22" s="848" customFormat="1" x14ac:dyDescent="0.25">
      <c r="B35" s="907">
        <v>0.83299999999999996</v>
      </c>
      <c r="C35" s="907">
        <v>0.91600000000000004</v>
      </c>
      <c r="E35" s="848" t="s">
        <v>944</v>
      </c>
      <c r="F35" s="934"/>
      <c r="G35" s="904">
        <f t="shared" si="5"/>
        <v>8</v>
      </c>
      <c r="H35" s="904">
        <f t="shared" si="6"/>
        <v>10</v>
      </c>
      <c r="I35"/>
      <c r="J35"/>
      <c r="L35" s="939" t="s">
        <v>116</v>
      </c>
      <c r="M35" s="921" t="str">
        <f t="shared" si="0"/>
        <v>.833"  to  .916"</v>
      </c>
      <c r="N35" s="905">
        <v>84</v>
      </c>
      <c r="O35" s="925">
        <f t="shared" si="2"/>
        <v>670</v>
      </c>
      <c r="P35" s="917">
        <f t="shared" si="1"/>
        <v>840</v>
      </c>
      <c r="R35" t="s">
        <v>1101</v>
      </c>
      <c r="S35" s="464">
        <f t="shared" si="3"/>
        <v>670</v>
      </c>
      <c r="U35" s="848" t="s">
        <v>1102</v>
      </c>
      <c r="V35" s="464">
        <f t="shared" si="4"/>
        <v>840</v>
      </c>
    </row>
    <row r="36" spans="2:22" s="848" customFormat="1" x14ac:dyDescent="0.25">
      <c r="B36" s="907">
        <v>0.83299999999999996</v>
      </c>
      <c r="C36" s="907">
        <v>0.91600000000000004</v>
      </c>
      <c r="E36" s="848" t="s">
        <v>944</v>
      </c>
      <c r="F36" s="934"/>
      <c r="G36" s="904">
        <f t="shared" si="5"/>
        <v>8</v>
      </c>
      <c r="H36" s="904">
        <f t="shared" si="6"/>
        <v>10</v>
      </c>
      <c r="I36"/>
      <c r="J36"/>
      <c r="L36" s="939" t="s">
        <v>117</v>
      </c>
      <c r="M36" s="921" t="str">
        <f t="shared" si="0"/>
        <v>.833"  to  .916"</v>
      </c>
      <c r="N36" s="905">
        <v>84</v>
      </c>
      <c r="O36" s="925">
        <f t="shared" si="2"/>
        <v>670</v>
      </c>
      <c r="P36" s="917">
        <f t="shared" si="1"/>
        <v>840</v>
      </c>
      <c r="R36" t="str">
        <f t="shared" ref="R36" si="33">R35</f>
        <v>CAL-M6X-NEW</v>
      </c>
      <c r="S36" s="464">
        <f t="shared" si="3"/>
        <v>670</v>
      </c>
      <c r="U36" s="848" t="str">
        <f t="shared" ref="U36" si="34">U35</f>
        <v>CAL-M6X-CUST</v>
      </c>
      <c r="V36" s="464">
        <f t="shared" si="4"/>
        <v>840</v>
      </c>
    </row>
    <row r="37" spans="2:22" s="848" customFormat="1" x14ac:dyDescent="0.25">
      <c r="B37" s="907">
        <v>0.83350000000000002</v>
      </c>
      <c r="C37" s="907">
        <v>0.91649999999999998</v>
      </c>
      <c r="E37" s="848" t="s">
        <v>945</v>
      </c>
      <c r="F37" s="934"/>
      <c r="G37" s="904">
        <f t="shared" si="5"/>
        <v>8</v>
      </c>
      <c r="H37" s="904">
        <f t="shared" si="6"/>
        <v>10</v>
      </c>
      <c r="I37"/>
      <c r="J37"/>
      <c r="L37" s="918" t="s">
        <v>118</v>
      </c>
      <c r="M37" s="922" t="str">
        <f t="shared" si="0"/>
        <v>.8335"  to  .9165"</v>
      </c>
      <c r="N37" s="915">
        <v>84</v>
      </c>
      <c r="O37" s="926">
        <f t="shared" si="2"/>
        <v>670</v>
      </c>
      <c r="P37" s="919">
        <f t="shared" si="1"/>
        <v>840</v>
      </c>
      <c r="R37" t="s">
        <v>1103</v>
      </c>
      <c r="S37" s="464">
        <f t="shared" si="3"/>
        <v>670</v>
      </c>
      <c r="U37" s="848" t="s">
        <v>1104</v>
      </c>
      <c r="V37" s="464">
        <f t="shared" si="4"/>
        <v>840</v>
      </c>
    </row>
    <row r="38" spans="2:22" s="848" customFormat="1" x14ac:dyDescent="0.25">
      <c r="B38" s="907">
        <v>0.83350000000000002</v>
      </c>
      <c r="C38" s="907">
        <v>0.91649999999999998</v>
      </c>
      <c r="E38" s="848" t="s">
        <v>945</v>
      </c>
      <c r="F38" s="934"/>
      <c r="G38" s="904">
        <f t="shared" si="5"/>
        <v>8</v>
      </c>
      <c r="H38" s="904">
        <f t="shared" si="6"/>
        <v>10</v>
      </c>
      <c r="I38"/>
      <c r="J38"/>
      <c r="L38" s="940" t="s">
        <v>119</v>
      </c>
      <c r="M38" s="923" t="str">
        <f t="shared" si="0"/>
        <v>.8335"  to  .9165"</v>
      </c>
      <c r="N38" s="916">
        <v>84</v>
      </c>
      <c r="O38" s="927">
        <f t="shared" si="2"/>
        <v>670</v>
      </c>
      <c r="P38" s="246">
        <f t="shared" si="1"/>
        <v>840</v>
      </c>
      <c r="R38" t="str">
        <f t="shared" ref="R38" si="35">R37</f>
        <v>CAL-M65X-NEW</v>
      </c>
      <c r="S38" s="464">
        <f t="shared" si="3"/>
        <v>670</v>
      </c>
      <c r="U38" s="848" t="str">
        <f t="shared" ref="U38" si="36">U37</f>
        <v>CAL-M65X-CUST</v>
      </c>
      <c r="V38" s="464">
        <f t="shared" si="4"/>
        <v>840</v>
      </c>
    </row>
    <row r="39" spans="2:22" s="848" customFormat="1" x14ac:dyDescent="0.25">
      <c r="B39" s="907">
        <v>0.91700000000000004</v>
      </c>
      <c r="C39" s="907">
        <v>1</v>
      </c>
      <c r="E39" s="848" t="s">
        <v>946</v>
      </c>
      <c r="F39" s="934"/>
      <c r="G39" s="904">
        <f t="shared" si="5"/>
        <v>8</v>
      </c>
      <c r="H39" s="904">
        <f t="shared" si="6"/>
        <v>10</v>
      </c>
      <c r="I39"/>
      <c r="J39"/>
      <c r="L39" s="939" t="s">
        <v>120</v>
      </c>
      <c r="M39" s="921" t="str">
        <f t="shared" si="0"/>
        <v>.917"  to  1.000"</v>
      </c>
      <c r="N39" s="905">
        <v>84</v>
      </c>
      <c r="O39" s="925">
        <f t="shared" si="2"/>
        <v>670</v>
      </c>
      <c r="P39" s="917">
        <f t="shared" si="1"/>
        <v>840</v>
      </c>
      <c r="R39" t="s">
        <v>1105</v>
      </c>
      <c r="S39" s="464">
        <f t="shared" si="3"/>
        <v>670</v>
      </c>
      <c r="U39" s="848" t="s">
        <v>1106</v>
      </c>
      <c r="V39" s="464">
        <f t="shared" si="4"/>
        <v>840</v>
      </c>
    </row>
    <row r="40" spans="2:22" s="848" customFormat="1" x14ac:dyDescent="0.25">
      <c r="B40" s="907">
        <v>0.91700000000000004</v>
      </c>
      <c r="C40" s="907">
        <v>1</v>
      </c>
      <c r="E40" s="848" t="s">
        <v>946</v>
      </c>
      <c r="F40" s="934"/>
      <c r="G40" s="904">
        <f t="shared" si="5"/>
        <v>8</v>
      </c>
      <c r="H40" s="904">
        <f t="shared" si="6"/>
        <v>10</v>
      </c>
      <c r="I40"/>
      <c r="J40"/>
      <c r="L40" s="939" t="s">
        <v>121</v>
      </c>
      <c r="M40" s="921" t="str">
        <f t="shared" si="0"/>
        <v>.917"  to  1.000"</v>
      </c>
      <c r="N40" s="905">
        <v>84</v>
      </c>
      <c r="O40" s="925">
        <f t="shared" si="2"/>
        <v>670</v>
      </c>
      <c r="P40" s="917">
        <f t="shared" si="1"/>
        <v>840</v>
      </c>
      <c r="R40" t="str">
        <f t="shared" ref="R40" si="37">R39</f>
        <v>CAL-M7X-NEW</v>
      </c>
      <c r="S40" s="464">
        <f t="shared" si="3"/>
        <v>670</v>
      </c>
      <c r="U40" s="848" t="str">
        <f t="shared" ref="U40" si="38">U39</f>
        <v>CAL-M7X-CUST</v>
      </c>
      <c r="V40" s="464">
        <f t="shared" si="4"/>
        <v>840</v>
      </c>
    </row>
    <row r="41" spans="2:22" s="848" customFormat="1" x14ac:dyDescent="0.25">
      <c r="B41" s="907">
        <v>0.91749999999999998</v>
      </c>
      <c r="C41" s="907">
        <v>1.0004999999999999</v>
      </c>
      <c r="E41" s="848" t="s">
        <v>947</v>
      </c>
      <c r="F41" s="934"/>
      <c r="G41" s="904">
        <f t="shared" si="5"/>
        <v>8</v>
      </c>
      <c r="H41" s="904">
        <f t="shared" si="6"/>
        <v>10</v>
      </c>
      <c r="I41"/>
      <c r="J41"/>
      <c r="L41" s="918" t="s">
        <v>122</v>
      </c>
      <c r="M41" s="922" t="str">
        <f t="shared" si="0"/>
        <v>.9175"  to  1.0005"</v>
      </c>
      <c r="N41" s="915">
        <v>84</v>
      </c>
      <c r="O41" s="926">
        <f t="shared" si="2"/>
        <v>670</v>
      </c>
      <c r="P41" s="919">
        <f t="shared" si="1"/>
        <v>840</v>
      </c>
      <c r="R41" t="s">
        <v>1107</v>
      </c>
      <c r="S41" s="464">
        <f t="shared" si="3"/>
        <v>670</v>
      </c>
      <c r="U41" s="848" t="s">
        <v>1108</v>
      </c>
      <c r="V41" s="464">
        <f t="shared" si="4"/>
        <v>840</v>
      </c>
    </row>
    <row r="42" spans="2:22" s="848" customFormat="1" ht="15.75" thickBot="1" x14ac:dyDescent="0.3">
      <c r="B42" s="907">
        <v>0.91749999999999998</v>
      </c>
      <c r="C42" s="907">
        <v>1.0004999999999999</v>
      </c>
      <c r="E42" s="848" t="s">
        <v>947</v>
      </c>
      <c r="F42" s="934"/>
      <c r="G42" s="904">
        <f t="shared" si="5"/>
        <v>8</v>
      </c>
      <c r="H42" s="904">
        <f t="shared" si="6"/>
        <v>10</v>
      </c>
      <c r="I42"/>
      <c r="J42"/>
      <c r="L42" s="941" t="s">
        <v>123</v>
      </c>
      <c r="M42" s="924" t="str">
        <f t="shared" si="0"/>
        <v>.9175"  to  1.0005"</v>
      </c>
      <c r="N42" s="920">
        <v>84</v>
      </c>
      <c r="O42" s="928">
        <f t="shared" si="2"/>
        <v>670</v>
      </c>
      <c r="P42" s="249">
        <f t="shared" si="1"/>
        <v>840</v>
      </c>
      <c r="R42" t="str">
        <f t="shared" ref="R42" si="39">R41</f>
        <v>CAL-M75X-NEW</v>
      </c>
      <c r="S42" s="464">
        <f t="shared" si="3"/>
        <v>670</v>
      </c>
      <c r="U42" s="848" t="str">
        <f t="shared" ref="U42" si="40">U41</f>
        <v>CAL-M75X-CUST</v>
      </c>
      <c r="V42" s="464">
        <f t="shared" si="4"/>
        <v>840</v>
      </c>
    </row>
    <row r="43" spans="2:22" s="848" customFormat="1" x14ac:dyDescent="0.25">
      <c r="B43" s="907"/>
      <c r="C43" s="907"/>
      <c r="F43" s="934"/>
      <c r="G43" s="934"/>
      <c r="H43" s="934"/>
      <c r="I43"/>
      <c r="J43"/>
      <c r="L43" s="938"/>
      <c r="M43" s="906"/>
      <c r="N43" s="905"/>
      <c r="O43" s="904"/>
      <c r="P43" s="904"/>
      <c r="R43"/>
      <c r="S43" s="464"/>
      <c r="V43" s="464"/>
    </row>
    <row r="44" spans="2:22" s="848" customFormat="1" ht="15.75" thickBot="1" x14ac:dyDescent="0.3">
      <c r="G44" s="913"/>
      <c r="H44" s="913"/>
      <c r="I44"/>
      <c r="J44"/>
      <c r="N44" s="905"/>
      <c r="O44" s="904"/>
      <c r="P44" s="904"/>
      <c r="S44" s="464"/>
      <c r="V44" s="464"/>
    </row>
    <row r="45" spans="2:22" s="848" customFormat="1" x14ac:dyDescent="0.25">
      <c r="B45" s="945" t="s">
        <v>928</v>
      </c>
      <c r="C45" s="907">
        <v>1E-3</v>
      </c>
      <c r="D45" s="911"/>
      <c r="E45" s="934" t="s">
        <v>955</v>
      </c>
      <c r="I45"/>
      <c r="J45"/>
      <c r="K45" s="910"/>
      <c r="L45" s="770" t="str">
        <f>_xlfn.CONCAT($B45," (",(TEXT(C45,".000")),E45," Increments)")</f>
        <v>Inch Libraries (.001" Increments)</v>
      </c>
      <c r="M45" s="770"/>
      <c r="N45" s="770"/>
      <c r="O45" s="770"/>
      <c r="P45" s="879"/>
      <c r="S45" s="464"/>
      <c r="V45" s="464"/>
    </row>
    <row r="46" spans="2:22" s="848" customFormat="1" x14ac:dyDescent="0.25">
      <c r="G46" s="913"/>
      <c r="H46" s="913"/>
      <c r="I46"/>
      <c r="J46"/>
      <c r="L46" s="935" t="s">
        <v>639</v>
      </c>
      <c r="M46" s="929" t="s">
        <v>3</v>
      </c>
      <c r="N46" s="936" t="s">
        <v>11</v>
      </c>
      <c r="O46" s="929" t="s">
        <v>563</v>
      </c>
      <c r="P46" s="937" t="s">
        <v>569</v>
      </c>
      <c r="S46" s="464"/>
      <c r="V46" s="464"/>
    </row>
    <row r="47" spans="2:22" s="848" customFormat="1" x14ac:dyDescent="0.25">
      <c r="B47" s="907">
        <v>1.0999999999999999E-2</v>
      </c>
      <c r="C47" s="907">
        <v>0.75</v>
      </c>
      <c r="E47" s="848" t="s">
        <v>948</v>
      </c>
      <c r="F47" s="934"/>
      <c r="G47" s="946">
        <v>7.5</v>
      </c>
      <c r="H47" s="946">
        <v>9.5</v>
      </c>
      <c r="I47"/>
      <c r="J47"/>
      <c r="L47" s="942" t="s">
        <v>174</v>
      </c>
      <c r="M47" s="921" t="str">
        <f t="shared" ref="M47:M58" si="41">_xlfn.CONCAT(TEXT($B47,"#.000#"),"""","  to  ",TEXT($C47,"#.000#"),"""")</f>
        <v>.011"  to  .750"</v>
      </c>
      <c r="N47" s="905">
        <v>615</v>
      </c>
      <c r="O47" s="925">
        <f t="shared" ref="O47:O58" si="42">MROUND(PRODUCT($G47,$N47),10)</f>
        <v>4610</v>
      </c>
      <c r="P47" s="917">
        <f t="shared" ref="P47:P58" si="43">MROUND(PRODUCT($H47,$N47),10)</f>
        <v>5840</v>
      </c>
      <c r="R47" s="848" t="s">
        <v>1109</v>
      </c>
      <c r="S47" s="464">
        <f t="shared" ref="S47:S58" si="44">$O47</f>
        <v>4610</v>
      </c>
      <c r="U47" s="848" t="s">
        <v>1110</v>
      </c>
      <c r="V47" s="464">
        <f t="shared" ref="V47:V58" si="45">$P47</f>
        <v>5840</v>
      </c>
    </row>
    <row r="48" spans="2:22" s="848" customFormat="1" x14ac:dyDescent="0.25">
      <c r="B48" s="907">
        <v>1.0999999999999999E-2</v>
      </c>
      <c r="C48" s="907">
        <v>0.75</v>
      </c>
      <c r="E48" s="848" t="s">
        <v>948</v>
      </c>
      <c r="F48" s="934"/>
      <c r="G48" s="904">
        <f>G47</f>
        <v>7.5</v>
      </c>
      <c r="H48" s="904">
        <f>H47</f>
        <v>9.5</v>
      </c>
      <c r="I48"/>
      <c r="J48"/>
      <c r="L48" s="942" t="s">
        <v>175</v>
      </c>
      <c r="M48" s="921" t="str">
        <f t="shared" si="41"/>
        <v>.011"  to  .750"</v>
      </c>
      <c r="N48" s="905">
        <v>615</v>
      </c>
      <c r="O48" s="925">
        <f t="shared" si="42"/>
        <v>4610</v>
      </c>
      <c r="P48" s="917">
        <f t="shared" si="43"/>
        <v>5840</v>
      </c>
      <c r="R48" s="848" t="s">
        <v>1109</v>
      </c>
      <c r="S48" s="464">
        <f t="shared" si="44"/>
        <v>4610</v>
      </c>
      <c r="U48" s="848" t="s">
        <v>1110</v>
      </c>
      <c r="V48" s="464">
        <f t="shared" si="45"/>
        <v>5840</v>
      </c>
    </row>
    <row r="49" spans="2:22" s="848" customFormat="1" x14ac:dyDescent="0.25">
      <c r="B49" s="907">
        <v>6.0999999999999999E-2</v>
      </c>
      <c r="C49" s="907">
        <v>0.75</v>
      </c>
      <c r="E49" s="848" t="s">
        <v>949</v>
      </c>
      <c r="F49" s="934"/>
      <c r="G49" s="904">
        <f t="shared" ref="G49:G58" si="46">G48</f>
        <v>7.5</v>
      </c>
      <c r="H49" s="904">
        <f t="shared" ref="H49:H58" si="47">H48</f>
        <v>9.5</v>
      </c>
      <c r="I49"/>
      <c r="J49"/>
      <c r="L49" s="918" t="s">
        <v>172</v>
      </c>
      <c r="M49" s="922" t="str">
        <f t="shared" si="41"/>
        <v>.061"  to  .750"</v>
      </c>
      <c r="N49" s="915">
        <v>615</v>
      </c>
      <c r="O49" s="926">
        <f t="shared" si="42"/>
        <v>4610</v>
      </c>
      <c r="P49" s="919">
        <f t="shared" si="43"/>
        <v>5840</v>
      </c>
      <c r="R49" s="848" t="s">
        <v>1111</v>
      </c>
      <c r="S49" s="464">
        <f t="shared" si="44"/>
        <v>4610</v>
      </c>
      <c r="U49" s="848" t="s">
        <v>1112</v>
      </c>
      <c r="V49" s="464">
        <f t="shared" si="45"/>
        <v>5840</v>
      </c>
    </row>
    <row r="50" spans="2:22" s="848" customFormat="1" x14ac:dyDescent="0.25">
      <c r="B50" s="907">
        <v>6.0999999999999999E-2</v>
      </c>
      <c r="C50" s="907">
        <v>0.75</v>
      </c>
      <c r="E50" s="848" t="s">
        <v>949</v>
      </c>
      <c r="F50" s="934"/>
      <c r="G50" s="904">
        <f t="shared" si="46"/>
        <v>7.5</v>
      </c>
      <c r="H50" s="904">
        <f t="shared" si="47"/>
        <v>9.5</v>
      </c>
      <c r="I50"/>
      <c r="J50"/>
      <c r="L50" s="940" t="s">
        <v>173</v>
      </c>
      <c r="M50" s="923" t="str">
        <f t="shared" si="41"/>
        <v>.061"  to  .750"</v>
      </c>
      <c r="N50" s="916">
        <v>615</v>
      </c>
      <c r="O50" s="927">
        <f t="shared" si="42"/>
        <v>4610</v>
      </c>
      <c r="P50" s="246">
        <f t="shared" si="43"/>
        <v>5840</v>
      </c>
      <c r="R50" s="848" t="s">
        <v>1111</v>
      </c>
      <c r="S50" s="464">
        <f t="shared" si="44"/>
        <v>4610</v>
      </c>
      <c r="U50" s="848" t="s">
        <v>1112</v>
      </c>
      <c r="V50" s="464">
        <f t="shared" si="45"/>
        <v>5840</v>
      </c>
    </row>
    <row r="51" spans="2:22" s="848" customFormat="1" x14ac:dyDescent="0.25">
      <c r="B51" s="907">
        <v>1.0999999999999999E-2</v>
      </c>
      <c r="C51" s="907">
        <v>0.50049999999999994</v>
      </c>
      <c r="E51" s="848" t="s">
        <v>950</v>
      </c>
      <c r="F51" s="934"/>
      <c r="G51" s="904">
        <f t="shared" si="46"/>
        <v>7.5</v>
      </c>
      <c r="H51" s="904">
        <f t="shared" si="47"/>
        <v>9.5</v>
      </c>
      <c r="I51"/>
      <c r="J51"/>
      <c r="L51" s="942" t="s">
        <v>178</v>
      </c>
      <c r="M51" s="921" t="str">
        <f t="shared" si="41"/>
        <v>.011"  to  .5005"</v>
      </c>
      <c r="N51" s="905">
        <v>740</v>
      </c>
      <c r="O51" s="925">
        <f t="shared" si="42"/>
        <v>5550</v>
      </c>
      <c r="P51" s="917">
        <f t="shared" si="43"/>
        <v>7030</v>
      </c>
      <c r="R51" s="848" t="s">
        <v>1113</v>
      </c>
      <c r="S51" s="464">
        <f t="shared" si="44"/>
        <v>5550</v>
      </c>
      <c r="U51" s="848" t="s">
        <v>1114</v>
      </c>
      <c r="V51" s="464">
        <f t="shared" si="45"/>
        <v>7030</v>
      </c>
    </row>
    <row r="52" spans="2:22" s="848" customFormat="1" x14ac:dyDescent="0.25">
      <c r="B52" s="907">
        <v>1.0999999999999999E-2</v>
      </c>
      <c r="C52" s="907">
        <v>0.50049999999999994</v>
      </c>
      <c r="E52" s="848" t="s">
        <v>950</v>
      </c>
      <c r="F52" s="934"/>
      <c r="G52" s="904">
        <f t="shared" si="46"/>
        <v>7.5</v>
      </c>
      <c r="H52" s="904">
        <f t="shared" si="47"/>
        <v>9.5</v>
      </c>
      <c r="I52"/>
      <c r="J52"/>
      <c r="L52" s="942" t="s">
        <v>179</v>
      </c>
      <c r="M52" s="921" t="str">
        <f t="shared" si="41"/>
        <v>.011"  to  .5005"</v>
      </c>
      <c r="N52" s="905">
        <v>740</v>
      </c>
      <c r="O52" s="925">
        <f t="shared" si="42"/>
        <v>5550</v>
      </c>
      <c r="P52" s="917">
        <f t="shared" si="43"/>
        <v>7030</v>
      </c>
      <c r="R52" s="848" t="s">
        <v>1113</v>
      </c>
      <c r="S52" s="464">
        <f t="shared" si="44"/>
        <v>5550</v>
      </c>
      <c r="U52" s="848" t="s">
        <v>1114</v>
      </c>
      <c r="V52" s="464">
        <f t="shared" si="45"/>
        <v>7030</v>
      </c>
    </row>
    <row r="53" spans="2:22" s="848" customFormat="1" x14ac:dyDescent="0.25">
      <c r="B53" s="907">
        <v>6.0999999999999999E-2</v>
      </c>
      <c r="C53" s="907">
        <v>0.50049999999999994</v>
      </c>
      <c r="E53" s="848" t="s">
        <v>951</v>
      </c>
      <c r="F53" s="934"/>
      <c r="G53" s="904">
        <f t="shared" si="46"/>
        <v>7.5</v>
      </c>
      <c r="H53" s="904">
        <f t="shared" si="47"/>
        <v>9.5</v>
      </c>
      <c r="I53"/>
      <c r="J53"/>
      <c r="L53" s="918" t="s">
        <v>176</v>
      </c>
      <c r="M53" s="922" t="str">
        <f t="shared" si="41"/>
        <v>.061"  to  .5005"</v>
      </c>
      <c r="N53" s="915">
        <v>740</v>
      </c>
      <c r="O53" s="926">
        <f t="shared" si="42"/>
        <v>5550</v>
      </c>
      <c r="P53" s="919">
        <f t="shared" si="43"/>
        <v>7030</v>
      </c>
      <c r="R53" s="848" t="s">
        <v>1115</v>
      </c>
      <c r="S53" s="464">
        <f t="shared" si="44"/>
        <v>5550</v>
      </c>
      <c r="U53" s="848" t="s">
        <v>1116</v>
      </c>
      <c r="V53" s="464">
        <f t="shared" si="45"/>
        <v>7030</v>
      </c>
    </row>
    <row r="54" spans="2:22" s="848" customFormat="1" x14ac:dyDescent="0.25">
      <c r="B54" s="907">
        <v>6.0999999999999999E-2</v>
      </c>
      <c r="C54" s="907">
        <v>0.50049999999999994</v>
      </c>
      <c r="E54" s="848" t="s">
        <v>951</v>
      </c>
      <c r="F54" s="934"/>
      <c r="G54" s="904">
        <f t="shared" si="46"/>
        <v>7.5</v>
      </c>
      <c r="H54" s="904">
        <f t="shared" si="47"/>
        <v>9.5</v>
      </c>
      <c r="I54"/>
      <c r="J54"/>
      <c r="L54" s="940" t="s">
        <v>177</v>
      </c>
      <c r="M54" s="923" t="str">
        <f t="shared" si="41"/>
        <v>.061"  to  .5005"</v>
      </c>
      <c r="N54" s="916">
        <v>740</v>
      </c>
      <c r="O54" s="927">
        <f t="shared" si="42"/>
        <v>5550</v>
      </c>
      <c r="P54" s="246">
        <f t="shared" si="43"/>
        <v>7030</v>
      </c>
      <c r="R54" s="848" t="s">
        <v>1115</v>
      </c>
      <c r="S54" s="464">
        <f t="shared" si="44"/>
        <v>5550</v>
      </c>
      <c r="U54" s="848" t="s">
        <v>1116</v>
      </c>
      <c r="V54" s="464">
        <f t="shared" si="45"/>
        <v>7030</v>
      </c>
    </row>
    <row r="55" spans="2:22" s="848" customFormat="1" x14ac:dyDescent="0.25">
      <c r="B55" s="907">
        <v>6.0999999999999999E-2</v>
      </c>
      <c r="C55" s="907">
        <v>1</v>
      </c>
      <c r="E55" s="848" t="s">
        <v>952</v>
      </c>
      <c r="F55" s="934"/>
      <c r="G55" s="904">
        <f t="shared" si="46"/>
        <v>7.5</v>
      </c>
      <c r="H55" s="904">
        <f t="shared" si="47"/>
        <v>9.5</v>
      </c>
      <c r="I55"/>
      <c r="J55"/>
      <c r="L55" s="942" t="s">
        <v>180</v>
      </c>
      <c r="M55" s="921" t="str">
        <f t="shared" si="41"/>
        <v>.061"  to  1.000"</v>
      </c>
      <c r="N55" s="905">
        <v>690</v>
      </c>
      <c r="O55" s="925">
        <f t="shared" si="42"/>
        <v>5180</v>
      </c>
      <c r="P55" s="917">
        <f t="shared" si="43"/>
        <v>6560</v>
      </c>
      <c r="R55" s="848" t="s">
        <v>1117</v>
      </c>
      <c r="S55" s="464">
        <f t="shared" si="44"/>
        <v>5180</v>
      </c>
      <c r="U55" s="848" t="s">
        <v>1118</v>
      </c>
      <c r="V55" s="464">
        <f t="shared" si="45"/>
        <v>6560</v>
      </c>
    </row>
    <row r="56" spans="2:22" s="848" customFormat="1" x14ac:dyDescent="0.25">
      <c r="B56" s="907">
        <v>6.0999999999999999E-2</v>
      </c>
      <c r="C56" s="907">
        <v>1</v>
      </c>
      <c r="E56" s="848" t="s">
        <v>952</v>
      </c>
      <c r="F56" s="934"/>
      <c r="G56" s="904">
        <f t="shared" si="46"/>
        <v>7.5</v>
      </c>
      <c r="H56" s="904">
        <f t="shared" si="47"/>
        <v>9.5</v>
      </c>
      <c r="I56"/>
      <c r="J56"/>
      <c r="L56" s="942" t="s">
        <v>181</v>
      </c>
      <c r="M56" s="921" t="str">
        <f t="shared" si="41"/>
        <v>.061"  to  1.000"</v>
      </c>
      <c r="N56" s="905">
        <v>690</v>
      </c>
      <c r="O56" s="925">
        <f t="shared" si="42"/>
        <v>5180</v>
      </c>
      <c r="P56" s="917">
        <f t="shared" si="43"/>
        <v>6560</v>
      </c>
      <c r="R56" s="848" t="s">
        <v>1117</v>
      </c>
      <c r="S56" s="464">
        <f t="shared" si="44"/>
        <v>5180</v>
      </c>
      <c r="U56" s="848" t="s">
        <v>1118</v>
      </c>
      <c r="V56" s="464">
        <f t="shared" si="45"/>
        <v>6560</v>
      </c>
    </row>
    <row r="57" spans="2:22" s="848" customFormat="1" x14ac:dyDescent="0.25">
      <c r="B57" s="907">
        <v>1.0999999999999999E-2</v>
      </c>
      <c r="C57" s="907">
        <v>1</v>
      </c>
      <c r="E57" s="848" t="s">
        <v>953</v>
      </c>
      <c r="F57" s="934"/>
      <c r="G57" s="904">
        <f t="shared" si="46"/>
        <v>7.5</v>
      </c>
      <c r="H57" s="904">
        <f t="shared" si="47"/>
        <v>9.5</v>
      </c>
      <c r="I57"/>
      <c r="J57"/>
      <c r="L57" s="918" t="s">
        <v>182</v>
      </c>
      <c r="M57" s="922" t="str">
        <f t="shared" si="41"/>
        <v>.011"  to  1.000"</v>
      </c>
      <c r="N57" s="915">
        <v>690</v>
      </c>
      <c r="O57" s="926">
        <f t="shared" si="42"/>
        <v>5180</v>
      </c>
      <c r="P57" s="919">
        <f t="shared" si="43"/>
        <v>6560</v>
      </c>
      <c r="R57" s="848" t="s">
        <v>1119</v>
      </c>
      <c r="S57" s="464">
        <f t="shared" si="44"/>
        <v>5180</v>
      </c>
      <c r="U57" s="848" t="s">
        <v>1120</v>
      </c>
      <c r="V57" s="464">
        <f t="shared" si="45"/>
        <v>6560</v>
      </c>
    </row>
    <row r="58" spans="2:22" s="848" customFormat="1" ht="15.75" thickBot="1" x14ac:dyDescent="0.3">
      <c r="B58" s="907">
        <v>1.0999999999999999E-2</v>
      </c>
      <c r="C58" s="907">
        <v>1</v>
      </c>
      <c r="E58" s="848" t="s">
        <v>953</v>
      </c>
      <c r="F58" s="934"/>
      <c r="G58" s="904">
        <f t="shared" si="46"/>
        <v>7.5</v>
      </c>
      <c r="H58" s="904">
        <f t="shared" si="47"/>
        <v>9.5</v>
      </c>
      <c r="I58"/>
      <c r="J58"/>
      <c r="L58" s="941" t="s">
        <v>183</v>
      </c>
      <c r="M58" s="924" t="str">
        <f t="shared" si="41"/>
        <v>.011"  to  1.000"</v>
      </c>
      <c r="N58" s="920">
        <v>690</v>
      </c>
      <c r="O58" s="928">
        <f t="shared" si="42"/>
        <v>5180</v>
      </c>
      <c r="P58" s="249">
        <f t="shared" si="43"/>
        <v>6560</v>
      </c>
      <c r="R58" s="848" t="s">
        <v>1119</v>
      </c>
      <c r="S58" s="464">
        <f t="shared" si="44"/>
        <v>5180</v>
      </c>
      <c r="U58" s="848" t="s">
        <v>1120</v>
      </c>
      <c r="V58" s="464">
        <f t="shared" si="45"/>
        <v>6560</v>
      </c>
    </row>
    <row r="59" spans="2:22" s="848" customFormat="1" x14ac:dyDescent="0.25">
      <c r="G59" s="913"/>
      <c r="H59" s="913"/>
      <c r="I59"/>
      <c r="J59"/>
      <c r="O59" s="904"/>
      <c r="P59" s="904"/>
    </row>
    <row r="60" spans="2:22" s="848" customFormat="1" x14ac:dyDescent="0.25">
      <c r="G60" s="913"/>
      <c r="H60" s="913"/>
      <c r="I60"/>
      <c r="J60"/>
      <c r="O60" s="904"/>
      <c r="P60" s="904"/>
    </row>
    <row r="61" spans="2:22" s="848" customFormat="1" x14ac:dyDescent="0.25">
      <c r="G61" s="913"/>
      <c r="H61" s="913"/>
      <c r="I61"/>
      <c r="J61"/>
      <c r="O61" s="904"/>
      <c r="P61" s="904"/>
    </row>
    <row r="62" spans="2:22" s="848" customFormat="1" x14ac:dyDescent="0.25">
      <c r="G62" s="913"/>
      <c r="H62" s="913"/>
      <c r="I62"/>
      <c r="J62"/>
      <c r="O62" s="904"/>
      <c r="P62" s="904"/>
    </row>
    <row r="63" spans="2:22" s="848" customFormat="1" x14ac:dyDescent="0.25">
      <c r="G63" s="913"/>
      <c r="H63" s="913"/>
      <c r="I63"/>
      <c r="J63"/>
      <c r="O63" s="904"/>
      <c r="P63" s="904"/>
    </row>
    <row r="64" spans="2:22" s="848" customFormat="1" x14ac:dyDescent="0.25">
      <c r="G64" s="913"/>
      <c r="H64" s="913"/>
      <c r="I64"/>
      <c r="J64"/>
      <c r="O64" s="904"/>
      <c r="P64" s="904"/>
    </row>
    <row r="65" spans="7:16" s="848" customFormat="1" x14ac:dyDescent="0.25">
      <c r="G65" s="913"/>
      <c r="H65" s="913"/>
      <c r="I65"/>
      <c r="J65"/>
      <c r="O65" s="904"/>
      <c r="P65" s="904"/>
    </row>
    <row r="66" spans="7:16" s="848" customFormat="1" x14ac:dyDescent="0.25">
      <c r="G66" s="913"/>
      <c r="H66" s="913"/>
      <c r="I66"/>
      <c r="J66"/>
      <c r="O66" s="904"/>
      <c r="P66" s="904"/>
    </row>
    <row r="67" spans="7:16" s="848" customFormat="1" x14ac:dyDescent="0.25">
      <c r="G67" s="913"/>
      <c r="H67" s="913"/>
      <c r="I67"/>
      <c r="J67"/>
      <c r="O67" s="904"/>
      <c r="P67" s="904"/>
    </row>
    <row r="68" spans="7:16" s="848" customFormat="1" x14ac:dyDescent="0.25">
      <c r="G68" s="913"/>
      <c r="H68" s="913"/>
      <c r="I68"/>
      <c r="J68"/>
      <c r="O68" s="904"/>
      <c r="P68" s="904"/>
    </row>
    <row r="69" spans="7:16" s="848" customFormat="1" x14ac:dyDescent="0.25">
      <c r="G69" s="913"/>
      <c r="H69" s="913"/>
      <c r="I69"/>
      <c r="J69"/>
      <c r="O69" s="904"/>
      <c r="P69" s="904"/>
    </row>
    <row r="70" spans="7:16" s="848" customFormat="1" x14ac:dyDescent="0.25">
      <c r="G70" s="913"/>
      <c r="H70" s="913"/>
      <c r="I70"/>
      <c r="J70"/>
      <c r="O70" s="904"/>
      <c r="P70" s="904"/>
    </row>
    <row r="71" spans="7:16" s="848" customFormat="1" x14ac:dyDescent="0.25">
      <c r="G71" s="913"/>
      <c r="H71" s="913"/>
      <c r="I71"/>
      <c r="J71"/>
      <c r="O71" s="904"/>
      <c r="P71" s="904"/>
    </row>
    <row r="72" spans="7:16" s="848" customFormat="1" x14ac:dyDescent="0.25">
      <c r="G72" s="913"/>
      <c r="H72" s="913"/>
      <c r="I72"/>
      <c r="J72"/>
      <c r="O72" s="904"/>
      <c r="P72" s="904"/>
    </row>
    <row r="73" spans="7:16" s="848" customFormat="1" x14ac:dyDescent="0.25">
      <c r="G73" s="913"/>
      <c r="H73" s="913"/>
      <c r="I73"/>
      <c r="J73"/>
      <c r="O73" s="904"/>
      <c r="P73" s="904"/>
    </row>
    <row r="74" spans="7:16" s="848" customFormat="1" x14ac:dyDescent="0.25">
      <c r="G74" s="913"/>
      <c r="H74" s="913"/>
      <c r="I74"/>
      <c r="J74"/>
      <c r="O74" s="904"/>
      <c r="P74" s="904"/>
    </row>
    <row r="75" spans="7:16" s="848" customFormat="1" x14ac:dyDescent="0.25">
      <c r="G75" s="913"/>
      <c r="H75" s="913"/>
      <c r="I75"/>
      <c r="J75"/>
      <c r="O75" s="904"/>
      <c r="P75" s="904"/>
    </row>
    <row r="76" spans="7:16" s="848" customFormat="1" x14ac:dyDescent="0.25">
      <c r="G76" s="913"/>
      <c r="H76" s="913"/>
      <c r="I76"/>
      <c r="J76"/>
      <c r="O76" s="904"/>
      <c r="P76" s="904"/>
    </row>
    <row r="77" spans="7:16" s="848" customFormat="1" x14ac:dyDescent="0.25">
      <c r="G77" s="913"/>
      <c r="H77" s="913"/>
      <c r="I77"/>
      <c r="J77"/>
      <c r="O77" s="904"/>
      <c r="P77" s="904"/>
    </row>
    <row r="78" spans="7:16" s="848" customFormat="1" x14ac:dyDescent="0.25">
      <c r="G78" s="913"/>
      <c r="H78" s="913"/>
      <c r="I78"/>
      <c r="J78"/>
      <c r="O78" s="904"/>
      <c r="P78" s="904"/>
    </row>
    <row r="79" spans="7:16" s="848" customFormat="1" x14ac:dyDescent="0.25">
      <c r="G79" s="913"/>
      <c r="H79" s="913"/>
      <c r="I79"/>
      <c r="J79"/>
      <c r="O79" s="904"/>
      <c r="P79" s="904"/>
    </row>
    <row r="80" spans="7:16" s="848" customFormat="1" x14ac:dyDescent="0.25">
      <c r="G80" s="913"/>
      <c r="H80" s="913"/>
      <c r="I80"/>
      <c r="J80"/>
      <c r="O80" s="904"/>
      <c r="P80" s="904"/>
    </row>
    <row r="81" spans="7:16" s="848" customFormat="1" x14ac:dyDescent="0.25">
      <c r="G81" s="913"/>
      <c r="H81" s="913"/>
      <c r="I81"/>
      <c r="J81"/>
      <c r="O81" s="904"/>
      <c r="P81" s="904"/>
    </row>
    <row r="82" spans="7:16" s="848" customFormat="1" x14ac:dyDescent="0.25">
      <c r="G82" s="913"/>
      <c r="H82" s="913"/>
      <c r="I82"/>
      <c r="J82"/>
      <c r="O82" s="904"/>
      <c r="P82" s="904"/>
    </row>
    <row r="83" spans="7:16" s="848" customFormat="1" x14ac:dyDescent="0.25">
      <c r="G83" s="913"/>
      <c r="H83" s="913"/>
      <c r="I83"/>
      <c r="J83"/>
      <c r="O83" s="904"/>
      <c r="P83" s="904"/>
    </row>
    <row r="84" spans="7:16" s="848" customFormat="1" x14ac:dyDescent="0.25">
      <c r="G84" s="913"/>
      <c r="H84" s="913"/>
      <c r="I84"/>
      <c r="J84"/>
      <c r="O84" s="904"/>
      <c r="P84" s="904"/>
    </row>
    <row r="85" spans="7:16" s="848" customFormat="1" x14ac:dyDescent="0.25">
      <c r="G85" s="913"/>
      <c r="H85" s="913"/>
      <c r="I85"/>
      <c r="J85"/>
      <c r="O85" s="904"/>
      <c r="P85" s="904"/>
    </row>
    <row r="86" spans="7:16" s="848" customFormat="1" x14ac:dyDescent="0.25">
      <c r="G86" s="913"/>
      <c r="H86" s="913"/>
      <c r="I86"/>
      <c r="J86"/>
      <c r="O86" s="904"/>
      <c r="P86" s="904"/>
    </row>
    <row r="87" spans="7:16" s="848" customFormat="1" x14ac:dyDescent="0.25">
      <c r="G87" s="913"/>
      <c r="H87" s="913"/>
      <c r="I87"/>
      <c r="J87"/>
      <c r="O87" s="904"/>
      <c r="P87" s="904"/>
    </row>
    <row r="88" spans="7:16" s="848" customFormat="1" x14ac:dyDescent="0.25">
      <c r="G88" s="913"/>
      <c r="H88" s="913"/>
      <c r="I88"/>
      <c r="J88"/>
      <c r="O88" s="904"/>
      <c r="P88" s="904"/>
    </row>
    <row r="89" spans="7:16" s="848" customFormat="1" x14ac:dyDescent="0.25">
      <c r="G89" s="913"/>
      <c r="H89" s="913"/>
      <c r="I89"/>
      <c r="J89"/>
      <c r="O89" s="904"/>
      <c r="P89" s="904"/>
    </row>
    <row r="90" spans="7:16" s="848" customFormat="1" x14ac:dyDescent="0.25">
      <c r="G90" s="913"/>
      <c r="H90" s="913"/>
      <c r="I90"/>
      <c r="J90"/>
      <c r="O90" s="904"/>
      <c r="P90" s="904"/>
    </row>
    <row r="91" spans="7:16" s="848" customFormat="1" x14ac:dyDescent="0.25">
      <c r="G91" s="913"/>
      <c r="H91" s="913"/>
      <c r="I91"/>
      <c r="J91"/>
      <c r="O91" s="904"/>
      <c r="P91" s="904"/>
    </row>
    <row r="92" spans="7:16" s="848" customFormat="1" x14ac:dyDescent="0.25">
      <c r="G92" s="913"/>
      <c r="H92" s="913"/>
      <c r="I92"/>
      <c r="J92"/>
      <c r="O92" s="904"/>
      <c r="P92" s="904"/>
    </row>
    <row r="93" spans="7:16" s="848" customFormat="1" x14ac:dyDescent="0.25">
      <c r="G93" s="913"/>
      <c r="H93" s="913"/>
      <c r="I93"/>
      <c r="J93"/>
      <c r="O93" s="904"/>
      <c r="P93" s="904"/>
    </row>
    <row r="94" spans="7:16" s="848" customFormat="1" x14ac:dyDescent="0.25">
      <c r="G94" s="913"/>
      <c r="H94" s="913"/>
      <c r="I94"/>
      <c r="J94"/>
      <c r="O94" s="904"/>
      <c r="P94" s="904"/>
    </row>
    <row r="95" spans="7:16" s="848" customFormat="1" x14ac:dyDescent="0.25">
      <c r="G95" s="913"/>
      <c r="H95" s="913"/>
      <c r="I95"/>
      <c r="J95"/>
      <c r="O95" s="904"/>
      <c r="P95" s="904"/>
    </row>
    <row r="96" spans="7:16" s="848" customFormat="1" x14ac:dyDescent="0.25">
      <c r="G96" s="913"/>
      <c r="H96" s="913"/>
      <c r="I96"/>
      <c r="J96"/>
      <c r="O96" s="904"/>
      <c r="P96" s="904"/>
    </row>
    <row r="97" spans="7:16" s="848" customFormat="1" x14ac:dyDescent="0.25">
      <c r="G97" s="913"/>
      <c r="H97" s="913"/>
      <c r="I97"/>
      <c r="J97"/>
      <c r="O97" s="904"/>
      <c r="P97" s="904"/>
    </row>
    <row r="98" spans="7:16" s="848" customFormat="1" x14ac:dyDescent="0.25">
      <c r="G98" s="913"/>
      <c r="H98" s="913"/>
      <c r="I98"/>
      <c r="J98"/>
      <c r="O98" s="904"/>
      <c r="P98" s="904"/>
    </row>
    <row r="99" spans="7:16" s="848" customFormat="1" x14ac:dyDescent="0.25">
      <c r="G99" s="913"/>
      <c r="H99" s="913"/>
      <c r="I99"/>
      <c r="J99"/>
      <c r="O99" s="904"/>
      <c r="P99" s="904"/>
    </row>
    <row r="100" spans="7:16" s="848" customFormat="1" x14ac:dyDescent="0.25">
      <c r="G100" s="913"/>
      <c r="H100" s="913"/>
      <c r="I100"/>
      <c r="J100"/>
      <c r="O100" s="904"/>
      <c r="P100" s="904"/>
    </row>
    <row r="101" spans="7:16" s="848" customFormat="1" x14ac:dyDescent="0.25">
      <c r="G101" s="913"/>
      <c r="H101" s="913"/>
      <c r="I101"/>
      <c r="J101"/>
      <c r="O101" s="904"/>
      <c r="P101" s="904"/>
    </row>
    <row r="102" spans="7:16" s="848" customFormat="1" x14ac:dyDescent="0.25">
      <c r="G102" s="913"/>
      <c r="H102" s="913"/>
      <c r="I102"/>
      <c r="J102"/>
      <c r="O102" s="904"/>
      <c r="P102" s="904"/>
    </row>
    <row r="103" spans="7:16" s="848" customFormat="1" x14ac:dyDescent="0.25">
      <c r="G103" s="913"/>
      <c r="H103" s="913"/>
      <c r="I103"/>
      <c r="J103"/>
      <c r="O103" s="904"/>
      <c r="P103" s="904"/>
    </row>
    <row r="104" spans="7:16" s="848" customFormat="1" x14ac:dyDescent="0.25">
      <c r="G104" s="913"/>
      <c r="H104" s="913"/>
      <c r="I104"/>
      <c r="J104"/>
      <c r="O104" s="904"/>
      <c r="P104" s="904"/>
    </row>
    <row r="105" spans="7:16" s="848" customFormat="1" x14ac:dyDescent="0.25">
      <c r="G105" s="913"/>
      <c r="H105" s="913"/>
      <c r="I105"/>
      <c r="J105"/>
      <c r="O105" s="904"/>
      <c r="P105" s="904"/>
    </row>
    <row r="106" spans="7:16" s="848" customFormat="1" x14ac:dyDescent="0.25">
      <c r="G106" s="913"/>
      <c r="H106" s="913"/>
      <c r="I106"/>
      <c r="J106"/>
      <c r="O106" s="904"/>
      <c r="P106" s="904"/>
    </row>
    <row r="107" spans="7:16" s="848" customFormat="1" x14ac:dyDescent="0.25">
      <c r="G107" s="913"/>
      <c r="H107" s="913"/>
      <c r="I107"/>
      <c r="J107"/>
      <c r="O107" s="904"/>
      <c r="P107" s="904"/>
    </row>
    <row r="108" spans="7:16" s="848" customFormat="1" x14ac:dyDescent="0.25">
      <c r="G108" s="913"/>
      <c r="H108" s="913"/>
      <c r="I108"/>
      <c r="J108"/>
      <c r="O108" s="904"/>
      <c r="P108" s="904"/>
    </row>
    <row r="109" spans="7:16" s="848" customFormat="1" x14ac:dyDescent="0.25">
      <c r="G109" s="913"/>
      <c r="H109" s="913"/>
      <c r="I109"/>
      <c r="J109"/>
      <c r="O109" s="904"/>
      <c r="P109" s="904"/>
    </row>
    <row r="110" spans="7:16" s="848" customFormat="1" x14ac:dyDescent="0.25">
      <c r="G110" s="913"/>
      <c r="H110" s="913"/>
      <c r="I110"/>
      <c r="J110"/>
      <c r="O110" s="904"/>
      <c r="P110" s="904"/>
    </row>
    <row r="111" spans="7:16" s="848" customFormat="1" x14ac:dyDescent="0.25">
      <c r="G111" s="913"/>
      <c r="H111" s="913"/>
      <c r="I111"/>
      <c r="J111"/>
      <c r="O111" s="904"/>
      <c r="P111" s="904"/>
    </row>
    <row r="112" spans="7:16" s="848" customFormat="1" x14ac:dyDescent="0.25">
      <c r="G112" s="913"/>
      <c r="H112" s="913"/>
      <c r="I112"/>
      <c r="J112"/>
      <c r="O112" s="904"/>
      <c r="P112" s="904"/>
    </row>
    <row r="113" spans="7:16" s="848" customFormat="1" x14ac:dyDescent="0.25">
      <c r="G113" s="913"/>
      <c r="H113" s="913"/>
      <c r="I113"/>
      <c r="J113"/>
      <c r="O113" s="904"/>
      <c r="P113" s="904"/>
    </row>
    <row r="114" spans="7:16" s="848" customFormat="1" x14ac:dyDescent="0.25">
      <c r="G114" s="913"/>
      <c r="H114" s="913"/>
      <c r="I114"/>
      <c r="J114"/>
      <c r="O114" s="904"/>
      <c r="P114" s="904"/>
    </row>
    <row r="115" spans="7:16" s="848" customFormat="1" x14ac:dyDescent="0.25">
      <c r="G115" s="913"/>
      <c r="H115" s="913"/>
      <c r="I115"/>
      <c r="J115"/>
      <c r="O115" s="904"/>
      <c r="P115" s="904"/>
    </row>
    <row r="116" spans="7:16" s="848" customFormat="1" x14ac:dyDescent="0.25">
      <c r="G116" s="913"/>
      <c r="H116" s="913"/>
      <c r="I116"/>
      <c r="J116"/>
      <c r="O116" s="904"/>
      <c r="P116" s="904"/>
    </row>
    <row r="117" spans="7:16" s="848" customFormat="1" x14ac:dyDescent="0.25">
      <c r="G117" s="913"/>
      <c r="H117" s="913"/>
      <c r="I117"/>
      <c r="J117"/>
      <c r="O117" s="904"/>
      <c r="P117" s="904"/>
    </row>
    <row r="118" spans="7:16" s="848" customFormat="1" x14ac:dyDescent="0.25">
      <c r="G118" s="913"/>
      <c r="H118" s="913"/>
      <c r="I118"/>
      <c r="J118"/>
      <c r="O118" s="904"/>
      <c r="P118" s="904"/>
    </row>
    <row r="119" spans="7:16" s="848" customFormat="1" x14ac:dyDescent="0.25">
      <c r="G119" s="913"/>
      <c r="H119" s="913"/>
      <c r="I119"/>
      <c r="J119"/>
      <c r="O119" s="904"/>
      <c r="P119" s="904"/>
    </row>
    <row r="120" spans="7:16" s="848" customFormat="1" x14ac:dyDescent="0.25">
      <c r="G120" s="913"/>
      <c r="H120" s="913"/>
      <c r="I120"/>
      <c r="J120"/>
      <c r="O120" s="904"/>
      <c r="P120" s="904"/>
    </row>
    <row r="121" spans="7:16" s="848" customFormat="1" x14ac:dyDescent="0.25">
      <c r="G121" s="913"/>
      <c r="H121" s="913"/>
      <c r="I121"/>
      <c r="J121"/>
      <c r="O121" s="904"/>
      <c r="P121" s="904"/>
    </row>
    <row r="122" spans="7:16" s="848" customFormat="1" x14ac:dyDescent="0.25">
      <c r="G122" s="913"/>
      <c r="H122" s="913"/>
      <c r="I122"/>
      <c r="J122"/>
      <c r="O122" s="904"/>
      <c r="P122" s="904"/>
    </row>
    <row r="123" spans="7:16" s="848" customFormat="1" x14ac:dyDescent="0.25">
      <c r="G123" s="913"/>
      <c r="H123" s="913"/>
      <c r="I123"/>
      <c r="J123"/>
      <c r="O123" s="904"/>
      <c r="P123" s="904"/>
    </row>
    <row r="124" spans="7:16" s="848" customFormat="1" x14ac:dyDescent="0.25">
      <c r="G124" s="913"/>
      <c r="H124" s="913"/>
      <c r="I124"/>
      <c r="J124"/>
      <c r="O124" s="904"/>
      <c r="P124" s="904"/>
    </row>
    <row r="125" spans="7:16" s="848" customFormat="1" x14ac:dyDescent="0.25">
      <c r="G125" s="913"/>
      <c r="H125" s="913"/>
      <c r="I125"/>
      <c r="J125"/>
      <c r="O125" s="904"/>
      <c r="P125" s="904"/>
    </row>
    <row r="126" spans="7:16" s="848" customFormat="1" x14ac:dyDescent="0.25">
      <c r="G126" s="913"/>
      <c r="H126" s="913"/>
      <c r="I126"/>
      <c r="J126"/>
      <c r="O126" s="904"/>
      <c r="P126" s="904"/>
    </row>
    <row r="127" spans="7:16" s="848" customFormat="1" x14ac:dyDescent="0.25">
      <c r="G127" s="913"/>
      <c r="H127" s="913"/>
      <c r="I127"/>
      <c r="J127"/>
      <c r="O127" s="904"/>
      <c r="P127" s="904"/>
    </row>
    <row r="128" spans="7:16" s="848" customFormat="1" x14ac:dyDescent="0.25">
      <c r="G128" s="913"/>
      <c r="H128" s="913"/>
      <c r="I128"/>
      <c r="J128"/>
      <c r="O128" s="904"/>
      <c r="P128" s="904"/>
    </row>
    <row r="129" spans="7:16" s="848" customFormat="1" x14ac:dyDescent="0.25">
      <c r="G129" s="913"/>
      <c r="H129" s="913"/>
      <c r="I129"/>
      <c r="J129"/>
      <c r="O129" s="904"/>
      <c r="P129" s="904"/>
    </row>
    <row r="130" spans="7:16" s="848" customFormat="1" x14ac:dyDescent="0.25">
      <c r="G130" s="913"/>
      <c r="H130" s="913"/>
      <c r="I130"/>
      <c r="J130"/>
      <c r="O130" s="904"/>
      <c r="P130" s="904"/>
    </row>
    <row r="131" spans="7:16" s="848" customFormat="1" x14ac:dyDescent="0.25">
      <c r="G131" s="913"/>
      <c r="H131" s="913"/>
      <c r="I131"/>
      <c r="J131"/>
      <c r="O131" s="904"/>
      <c r="P131" s="904"/>
    </row>
    <row r="132" spans="7:16" s="848" customFormat="1" x14ac:dyDescent="0.25">
      <c r="G132" s="913"/>
      <c r="H132" s="913"/>
      <c r="I132"/>
      <c r="J132"/>
      <c r="O132" s="904"/>
      <c r="P132" s="904"/>
    </row>
    <row r="133" spans="7:16" s="848" customFormat="1" x14ac:dyDescent="0.25">
      <c r="G133" s="913"/>
      <c r="H133" s="913"/>
      <c r="I133"/>
      <c r="J133"/>
      <c r="O133" s="904"/>
      <c r="P133" s="904"/>
    </row>
    <row r="134" spans="7:16" s="848" customFormat="1" x14ac:dyDescent="0.25">
      <c r="I134"/>
      <c r="J134"/>
      <c r="O134" s="904"/>
      <c r="P134" s="904"/>
    </row>
    <row r="135" spans="7:16" s="848" customFormat="1" x14ac:dyDescent="0.25">
      <c r="I135"/>
      <c r="J135"/>
      <c r="O135" s="904"/>
      <c r="P135" s="904"/>
    </row>
    <row r="136" spans="7:16" s="848" customFormat="1" x14ac:dyDescent="0.25">
      <c r="I136"/>
      <c r="J136"/>
      <c r="O136" s="904"/>
      <c r="P136" s="904"/>
    </row>
    <row r="137" spans="7:16" s="848" customFormat="1" x14ac:dyDescent="0.25">
      <c r="I137"/>
      <c r="J137"/>
      <c r="O137" s="904"/>
      <c r="P137" s="904"/>
    </row>
    <row r="138" spans="7:16" s="848" customFormat="1" x14ac:dyDescent="0.25">
      <c r="I138"/>
      <c r="J138"/>
      <c r="O138" s="904"/>
      <c r="P138" s="904"/>
    </row>
    <row r="139" spans="7:16" s="848" customFormat="1" x14ac:dyDescent="0.25">
      <c r="I139"/>
      <c r="J139"/>
      <c r="O139" s="904"/>
      <c r="P139" s="904"/>
    </row>
    <row r="140" spans="7:16" s="848" customFormat="1" x14ac:dyDescent="0.25">
      <c r="I140"/>
      <c r="J140"/>
      <c r="O140" s="904"/>
      <c r="P140" s="904"/>
    </row>
    <row r="141" spans="7:16" s="848" customFormat="1" x14ac:dyDescent="0.25">
      <c r="I141"/>
      <c r="J141"/>
      <c r="O141" s="904"/>
      <c r="P141" s="904"/>
    </row>
    <row r="142" spans="7:16" s="848" customFormat="1" x14ac:dyDescent="0.25">
      <c r="I142"/>
      <c r="J142"/>
      <c r="O142" s="904"/>
      <c r="P142" s="904"/>
    </row>
    <row r="143" spans="7:16" s="848" customFormat="1" x14ac:dyDescent="0.25">
      <c r="I143"/>
      <c r="J143"/>
      <c r="O143" s="904"/>
      <c r="P143" s="904"/>
    </row>
    <row r="144" spans="7:16" s="848" customFormat="1" x14ac:dyDescent="0.25">
      <c r="I144"/>
      <c r="J144"/>
      <c r="O144" s="904"/>
      <c r="P144" s="904"/>
    </row>
    <row r="145" spans="9:16" s="848" customFormat="1" x14ac:dyDescent="0.25">
      <c r="I145"/>
      <c r="J145"/>
      <c r="O145" s="904"/>
      <c r="P145" s="904"/>
    </row>
    <row r="146" spans="9:16" s="848" customFormat="1" x14ac:dyDescent="0.25">
      <c r="I146"/>
      <c r="J146"/>
      <c r="O146" s="904"/>
      <c r="P146" s="904"/>
    </row>
    <row r="147" spans="9:16" s="848" customFormat="1" x14ac:dyDescent="0.25">
      <c r="I147"/>
      <c r="J147"/>
      <c r="O147" s="904"/>
      <c r="P147" s="904"/>
    </row>
    <row r="148" spans="9:16" s="848" customFormat="1" x14ac:dyDescent="0.25">
      <c r="I148"/>
      <c r="J148"/>
      <c r="O148" s="904"/>
      <c r="P148" s="904"/>
    </row>
    <row r="149" spans="9:16" s="848" customFormat="1" x14ac:dyDescent="0.25">
      <c r="I149"/>
      <c r="J149"/>
      <c r="O149" s="904"/>
      <c r="P149" s="904"/>
    </row>
    <row r="150" spans="9:16" s="848" customFormat="1" x14ac:dyDescent="0.25">
      <c r="I150"/>
      <c r="J150"/>
      <c r="O150" s="904"/>
      <c r="P150" s="904"/>
    </row>
    <row r="151" spans="9:16" x14ac:dyDescent="0.25">
      <c r="O151" s="904"/>
      <c r="P151" s="904"/>
    </row>
    <row r="152" spans="9:16" x14ac:dyDescent="0.25">
      <c r="O152" s="904"/>
      <c r="P152" s="904"/>
    </row>
    <row r="153" spans="9:16" x14ac:dyDescent="0.25">
      <c r="O153" s="904"/>
      <c r="P153" s="904"/>
    </row>
    <row r="154" spans="9:16" x14ac:dyDescent="0.25">
      <c r="O154" s="904"/>
      <c r="P154" s="904"/>
    </row>
    <row r="155" spans="9:16" x14ac:dyDescent="0.25">
      <c r="O155" s="904"/>
      <c r="P155" s="904"/>
    </row>
    <row r="156" spans="9:16" x14ac:dyDescent="0.25">
      <c r="O156" s="904"/>
      <c r="P156" s="904"/>
    </row>
    <row r="157" spans="9:16" x14ac:dyDescent="0.25">
      <c r="O157" s="904"/>
      <c r="P157" s="904"/>
    </row>
    <row r="158" spans="9:16" x14ac:dyDescent="0.25">
      <c r="O158" s="904"/>
      <c r="P158" s="904"/>
    </row>
    <row r="159" spans="9:16" x14ac:dyDescent="0.25">
      <c r="O159" s="904"/>
      <c r="P159" s="904"/>
    </row>
    <row r="160" spans="9:16" x14ac:dyDescent="0.25">
      <c r="O160" s="904"/>
      <c r="P160" s="904"/>
    </row>
    <row r="161" spans="15:16" x14ac:dyDescent="0.25">
      <c r="O161" s="904"/>
      <c r="P161" s="904"/>
    </row>
    <row r="162" spans="15:16" x14ac:dyDescent="0.25">
      <c r="O162" s="904"/>
      <c r="P162" s="904"/>
    </row>
    <row r="163" spans="15:16" x14ac:dyDescent="0.25">
      <c r="O163" s="904"/>
      <c r="P163" s="904"/>
    </row>
    <row r="164" spans="15:16" x14ac:dyDescent="0.25">
      <c r="O164" s="904"/>
      <c r="P164" s="904"/>
    </row>
    <row r="165" spans="15:16" x14ac:dyDescent="0.25">
      <c r="O165" s="904"/>
      <c r="P165" s="904"/>
    </row>
    <row r="166" spans="15:16" x14ac:dyDescent="0.25">
      <c r="O166" s="904"/>
      <c r="P166" s="904"/>
    </row>
    <row r="167" spans="15:16" x14ac:dyDescent="0.25">
      <c r="O167" s="904"/>
      <c r="P167" s="904"/>
    </row>
    <row r="168" spans="15:16" x14ac:dyDescent="0.25">
      <c r="O168" s="904"/>
      <c r="P168" s="904"/>
    </row>
    <row r="169" spans="15:16" x14ac:dyDescent="0.25">
      <c r="O169" s="904"/>
      <c r="P169" s="904"/>
    </row>
    <row r="170" spans="15:16" x14ac:dyDescent="0.25">
      <c r="O170" s="904"/>
      <c r="P170" s="904"/>
    </row>
    <row r="171" spans="15:16" x14ac:dyDescent="0.25">
      <c r="O171" s="904"/>
      <c r="P171" s="904"/>
    </row>
    <row r="172" spans="15:16" x14ac:dyDescent="0.25">
      <c r="O172" s="904"/>
      <c r="P172" s="904"/>
    </row>
    <row r="173" spans="15:16" x14ac:dyDescent="0.25">
      <c r="O173" s="904"/>
      <c r="P173" s="904"/>
    </row>
    <row r="174" spans="15:16" x14ac:dyDescent="0.25">
      <c r="O174" s="904"/>
      <c r="P174" s="904"/>
    </row>
    <row r="175" spans="15:16" x14ac:dyDescent="0.25">
      <c r="O175" s="904"/>
      <c r="P175" s="904"/>
    </row>
    <row r="176" spans="15:16" x14ac:dyDescent="0.25">
      <c r="O176" s="904"/>
      <c r="P176" s="904"/>
    </row>
    <row r="177" spans="15:16" x14ac:dyDescent="0.25">
      <c r="O177" s="904"/>
      <c r="P177" s="904"/>
    </row>
  </sheetData>
  <sheetProtection algorithmName="SHA-512" hashValue="dpUk8SoQ6d2WKNeh0kudgCC0omi4dU6U5B69NTwz8yck8C22DVQi2bsT8vLF8hKWphJGhgpcgF+ADstuorkKKQ==" saltValue="QTjR4oyb8asdRGP3eKQBZw==" spinCount="100000" sheet="1" objects="1" scenarios="1"/>
  <pageMargins left="0.25" right="0.25" top="0.75" bottom="0.75" header="0.3" footer="0.3"/>
  <pageSetup scale="5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8D63F-866C-4819-971F-D6F1EA8D74B7}">
  <sheetPr>
    <outlinePr summaryBelow="0"/>
    <pageSetUpPr autoPageBreaks="0" fitToPage="1"/>
  </sheetPr>
  <dimension ref="A1:AK73"/>
  <sheetViews>
    <sheetView showGridLines="0" zoomScale="90" zoomScaleNormal="90" workbookViewId="0">
      <selection activeCell="Q72" sqref="Q72"/>
    </sheetView>
  </sheetViews>
  <sheetFormatPr defaultColWidth="9.140625" defaultRowHeight="15" outlineLevelRow="1" outlineLevelCol="1" x14ac:dyDescent="0.25"/>
  <cols>
    <col min="1" max="1" width="2.7109375" customWidth="1"/>
    <col min="2" max="2" width="12.7109375" style="56" hidden="1" customWidth="1" outlineLevel="1"/>
    <col min="3" max="3" width="11.28515625" style="56" hidden="1" customWidth="1" outlineLevel="1"/>
    <col min="4" max="4" width="2.7109375" style="57" hidden="1" customWidth="1" outlineLevel="1"/>
    <col min="5" max="6" width="11.28515625" style="56" hidden="1" customWidth="1" outlineLevel="1"/>
    <col min="7" max="7" width="2.7109375" style="57" hidden="1" customWidth="1" outlineLevel="1"/>
    <col min="8" max="8" width="11.28515625" style="57" hidden="1" customWidth="1" outlineLevel="1"/>
    <col min="9" max="9" width="10.28515625" style="71" hidden="1" customWidth="1" outlineLevel="1"/>
    <col min="10" max="10" width="2.7109375" style="57" hidden="1" customWidth="1" outlineLevel="1"/>
    <col min="11" max="11" width="10.7109375" style="57" hidden="1" customWidth="1" outlineLevel="1"/>
    <col min="12" max="12" width="10.85546875" style="57" hidden="1" customWidth="1" outlineLevel="1"/>
    <col min="13" max="14" width="9.42578125" style="57" hidden="1" customWidth="1" outlineLevel="1"/>
    <col min="15" max="15" width="10.5703125" hidden="1" customWidth="1" outlineLevel="1"/>
    <col min="16" max="16" width="2.7109375" hidden="1" customWidth="1" outlineLevel="1"/>
    <col min="17" max="17" width="22.85546875" style="56" customWidth="1" collapsed="1"/>
    <col min="18" max="18" width="23.7109375" style="56" customWidth="1"/>
    <col min="19" max="19" width="19.5703125" style="56" customWidth="1"/>
    <col min="20" max="20" width="13.7109375" style="56" customWidth="1"/>
    <col min="21" max="24" width="15" style="11" hidden="1" customWidth="1" outlineLevel="1"/>
    <col min="25" max="25" width="2.7109375" style="11" hidden="1" customWidth="1" outlineLevel="1"/>
    <col min="26" max="26" width="19.28515625" style="11" hidden="1" customWidth="1" outlineLevel="1"/>
    <col min="27" max="28" width="15.7109375" style="11" hidden="1" customWidth="1" outlineLevel="1"/>
    <col min="29" max="29" width="14.5703125" style="11" hidden="1" customWidth="1" outlineLevel="1"/>
    <col min="30" max="30" width="2.7109375" style="11" hidden="1" customWidth="1" outlineLevel="1"/>
    <col min="31" max="32" width="15" style="71" hidden="1" customWidth="1" outlineLevel="1"/>
    <col min="33" max="33" width="15" style="56" hidden="1" customWidth="1" outlineLevel="1"/>
    <col min="34" max="34" width="9.5703125" hidden="1" customWidth="1" outlineLevel="1"/>
    <col min="35" max="36" width="0" style="56" hidden="1" customWidth="1" outlineLevel="1"/>
    <col min="37" max="37" width="14.28515625" style="56" customWidth="1" collapsed="1"/>
    <col min="38" max="45" width="14.28515625" style="56" customWidth="1"/>
    <col min="46" max="16384" width="9.140625" style="56"/>
  </cols>
  <sheetData>
    <row r="1" spans="1:32" ht="8.1" customHeight="1" x14ac:dyDescent="0.25">
      <c r="AE1" s="521"/>
    </row>
    <row r="2" spans="1:32" ht="21" x14ac:dyDescent="0.35">
      <c r="F2" s="742"/>
      <c r="Q2" s="1" t="s">
        <v>574</v>
      </c>
      <c r="R2"/>
      <c r="S2"/>
    </row>
    <row r="3" spans="1:32" ht="15.75" collapsed="1" x14ac:dyDescent="0.25">
      <c r="F3" s="742"/>
      <c r="Q3" s="569" t="s">
        <v>627</v>
      </c>
      <c r="R3"/>
      <c r="S3"/>
    </row>
    <row r="4" spans="1:32" hidden="1" outlineLevel="1" x14ac:dyDescent="0.25">
      <c r="B4" s="743" t="s">
        <v>893</v>
      </c>
      <c r="C4" s="743" t="s">
        <v>894</v>
      </c>
      <c r="H4" s="743" t="s">
        <v>893</v>
      </c>
      <c r="I4" s="743" t="s">
        <v>894</v>
      </c>
      <c r="Q4"/>
      <c r="R4"/>
      <c r="S4"/>
    </row>
    <row r="5" spans="1:32" hidden="1" outlineLevel="1" x14ac:dyDescent="0.25">
      <c r="B5" s="744">
        <v>115</v>
      </c>
      <c r="C5" s="2" t="s">
        <v>796</v>
      </c>
      <c r="H5" s="2">
        <v>145</v>
      </c>
      <c r="I5" s="2" t="s">
        <v>799</v>
      </c>
      <c r="Q5"/>
      <c r="R5"/>
      <c r="S5"/>
    </row>
    <row r="6" spans="1:32" hidden="1" outlineLevel="1" x14ac:dyDescent="0.25">
      <c r="B6" s="744">
        <v>170</v>
      </c>
      <c r="C6" s="2" t="s">
        <v>808</v>
      </c>
      <c r="H6" s="744">
        <v>175</v>
      </c>
      <c r="I6" s="2" t="s">
        <v>809</v>
      </c>
      <c r="Q6"/>
      <c r="R6"/>
      <c r="S6"/>
    </row>
    <row r="7" spans="1:32" hidden="1" outlineLevel="1" x14ac:dyDescent="0.25">
      <c r="B7" s="2">
        <v>330</v>
      </c>
      <c r="C7" s="2" t="s">
        <v>859</v>
      </c>
      <c r="H7" s="2">
        <v>400</v>
      </c>
      <c r="I7" s="2" t="s">
        <v>862</v>
      </c>
      <c r="Q7"/>
      <c r="R7"/>
      <c r="S7"/>
    </row>
    <row r="8" spans="1:32" hidden="1" outlineLevel="1" x14ac:dyDescent="0.25">
      <c r="F8" s="742"/>
      <c r="Q8"/>
      <c r="R8"/>
      <c r="S8"/>
    </row>
    <row r="9" spans="1:32" x14ac:dyDescent="0.25">
      <c r="Q9"/>
      <c r="R9"/>
      <c r="S9"/>
    </row>
    <row r="10" spans="1:32" s="104" customFormat="1" x14ac:dyDescent="0.25">
      <c r="A10"/>
      <c r="D10" s="513"/>
      <c r="F10" s="593">
        <v>25.4</v>
      </c>
      <c r="G10" s="513"/>
      <c r="H10" s="513"/>
      <c r="I10" s="512" t="s">
        <v>648</v>
      </c>
      <c r="J10" s="513"/>
      <c r="K10" s="515" t="s">
        <v>1122</v>
      </c>
      <c r="N10" s="513"/>
      <c r="O10" s="80"/>
      <c r="P10" s="80"/>
      <c r="Q10" s="104" t="str">
        <f>_xlfn.CONCAT($I$10,"  ",K10)</f>
        <v>•  Class Z, X, or XX</v>
      </c>
      <c r="R10" s="80"/>
      <c r="S10" s="80"/>
      <c r="U10" s="514"/>
      <c r="V10" s="514"/>
      <c r="W10" s="514"/>
      <c r="X10" s="514"/>
      <c r="Y10" s="514"/>
      <c r="Z10" s="514"/>
      <c r="AA10" s="514"/>
      <c r="AB10" s="514"/>
      <c r="AC10" s="514"/>
      <c r="AD10" s="514"/>
      <c r="AE10" s="514"/>
      <c r="AF10" s="514"/>
    </row>
    <row r="11" spans="1:32" s="104" customFormat="1" x14ac:dyDescent="0.25">
      <c r="A11"/>
      <c r="D11" s="513"/>
      <c r="G11" s="513"/>
      <c r="H11" s="513"/>
      <c r="I11" s="514"/>
      <c r="J11" s="513"/>
      <c r="K11" s="515" t="s">
        <v>641</v>
      </c>
      <c r="N11" s="513"/>
      <c r="O11" s="80"/>
      <c r="P11" s="80"/>
      <c r="Q11" s="104" t="str">
        <f>_xlfn.CONCAT($I$10,"  ",K11)</f>
        <v>•  Go (Plus) or NoGo (Minus)</v>
      </c>
      <c r="R11" s="80"/>
      <c r="S11" s="80"/>
      <c r="U11" s="514"/>
      <c r="V11" s="514"/>
      <c r="W11" s="514"/>
      <c r="X11" s="514"/>
      <c r="Y11" s="514"/>
      <c r="Z11" s="514"/>
      <c r="AA11" s="514"/>
      <c r="AB11" s="514"/>
      <c r="AC11" s="514"/>
      <c r="AD11" s="514"/>
      <c r="AE11" s="514"/>
      <c r="AF11" s="514"/>
    </row>
    <row r="12" spans="1:32" s="104" customFormat="1" x14ac:dyDescent="0.25">
      <c r="A12"/>
      <c r="D12" s="513"/>
      <c r="G12" s="513"/>
      <c r="H12" s="513"/>
      <c r="I12" s="514"/>
      <c r="J12" s="513"/>
      <c r="K12" s="515" t="s">
        <v>1129</v>
      </c>
      <c r="N12" s="513"/>
      <c r="O12" s="80"/>
      <c r="P12" s="80"/>
      <c r="Q12" s="104" t="str">
        <f>_xlfn.CONCAT($I$10,"  ",K12)</f>
        <v>•  Bilateral (Split) available for Class X and XX only</v>
      </c>
      <c r="R12" s="80"/>
      <c r="S12" s="80"/>
      <c r="U12" s="514"/>
      <c r="V12" s="514"/>
      <c r="W12" s="514"/>
      <c r="X12" s="514"/>
      <c r="Y12" s="514"/>
      <c r="Z12" s="514"/>
      <c r="AA12" s="514"/>
      <c r="AB12" s="514"/>
      <c r="AC12" s="514"/>
      <c r="AD12" s="514"/>
      <c r="AE12" s="514"/>
      <c r="AF12" s="514"/>
    </row>
    <row r="13" spans="1:32" s="104" customFormat="1" x14ac:dyDescent="0.25">
      <c r="A13"/>
      <c r="B13" s="698" t="s">
        <v>766</v>
      </c>
      <c r="D13" s="513"/>
      <c r="G13" s="513"/>
      <c r="H13" s="513"/>
      <c r="I13" s="514"/>
      <c r="J13" s="513"/>
      <c r="K13" s="515" t="s">
        <v>691</v>
      </c>
      <c r="N13" s="513"/>
      <c r="O13" s="80"/>
      <c r="P13" s="80"/>
      <c r="Q13" s="104" t="str">
        <f>_xlfn.CONCAT($I$10,"  ",K13)</f>
        <v>•  2" standard length</v>
      </c>
      <c r="R13" s="80"/>
      <c r="S13" s="80"/>
      <c r="U13" s="514"/>
      <c r="V13" s="514"/>
      <c r="W13" s="514"/>
      <c r="X13" s="514"/>
      <c r="Y13" s="514"/>
      <c r="Z13" s="514"/>
      <c r="AA13" s="514"/>
      <c r="AB13" s="514"/>
      <c r="AC13" s="514"/>
      <c r="AD13" s="514"/>
      <c r="AE13" s="514"/>
      <c r="AF13" s="514"/>
    </row>
    <row r="14" spans="1:32" ht="15.75" thickBot="1" x14ac:dyDescent="0.3">
      <c r="Q14"/>
      <c r="R14"/>
      <c r="S14"/>
    </row>
    <row r="15" spans="1:32" ht="15.75" thickBot="1" x14ac:dyDescent="0.3">
      <c r="B15" s="59" t="s">
        <v>572</v>
      </c>
      <c r="C15" s="60">
        <v>5.0000000000000001E-4</v>
      </c>
      <c r="D15" s="61"/>
      <c r="E15" s="59" t="s">
        <v>572</v>
      </c>
      <c r="F15" s="62">
        <v>0.01</v>
      </c>
      <c r="I15" s="384" t="s">
        <v>196</v>
      </c>
      <c r="J15"/>
      <c r="K15" s="537">
        <v>1E-4</v>
      </c>
      <c r="L15" s="537">
        <v>2.5000000000000001E-3</v>
      </c>
      <c r="Q15" s="770" t="str">
        <f>_xlfn.CONCAT("Class ",$I15,"  (",TEXT($K15,".0000#"),""""," or ",TEXT($L15,".000#"),"mm)")</f>
        <v>Class Z  (.0001" or .0025mm)</v>
      </c>
      <c r="R15" s="770"/>
      <c r="S15" s="879"/>
      <c r="U15" s="2"/>
      <c r="AE15" s="3" t="s">
        <v>703</v>
      </c>
    </row>
    <row r="16" spans="1:32" ht="17.25" x14ac:dyDescent="0.4">
      <c r="B16" s="63" t="s">
        <v>634</v>
      </c>
      <c r="C16" s="64"/>
      <c r="E16" s="63" t="s">
        <v>635</v>
      </c>
      <c r="F16" s="65"/>
      <c r="G16" s="66"/>
      <c r="H16" s="66"/>
      <c r="J16"/>
      <c r="K16" s="490"/>
      <c r="L16" s="490"/>
      <c r="M16" s="66"/>
      <c r="N16" s="66"/>
      <c r="Q16" s="205" t="s">
        <v>3</v>
      </c>
      <c r="R16" s="206"/>
      <c r="S16" s="1058" t="s">
        <v>573</v>
      </c>
    </row>
    <row r="17" spans="1:32" ht="15.75" x14ac:dyDescent="0.25">
      <c r="B17" s="67" t="s">
        <v>6</v>
      </c>
      <c r="C17" s="68"/>
      <c r="E17" s="67" t="s">
        <v>7</v>
      </c>
      <c r="F17" s="68"/>
      <c r="G17" s="66"/>
      <c r="H17" s="956" t="s">
        <v>1121</v>
      </c>
      <c r="I17" s="957" t="s">
        <v>698</v>
      </c>
      <c r="J17"/>
      <c r="K17" s="311" t="s">
        <v>632</v>
      </c>
      <c r="L17" s="344" t="s">
        <v>633</v>
      </c>
      <c r="M17" s="952" t="s">
        <v>636</v>
      </c>
      <c r="N17" s="539"/>
      <c r="O17" s="479">
        <v>0.4</v>
      </c>
      <c r="P17" s="488"/>
      <c r="Q17" s="207" t="s">
        <v>4</v>
      </c>
      <c r="R17" s="208" t="s">
        <v>5</v>
      </c>
      <c r="S17" s="1059"/>
      <c r="U17" s="16" t="s">
        <v>719</v>
      </c>
      <c r="V17" s="16" t="s">
        <v>905</v>
      </c>
      <c r="W17" s="16" t="s">
        <v>636</v>
      </c>
      <c r="X17" s="16" t="s">
        <v>720</v>
      </c>
      <c r="Z17" s="747" t="s">
        <v>908</v>
      </c>
      <c r="AA17" s="610" t="s">
        <v>905</v>
      </c>
      <c r="AB17" s="784" t="s">
        <v>719</v>
      </c>
      <c r="AC17" s="785" t="s">
        <v>636</v>
      </c>
      <c r="AD17" s="23"/>
      <c r="AE17" s="596" t="s">
        <v>699</v>
      </c>
    </row>
    <row r="18" spans="1:32" x14ac:dyDescent="0.25">
      <c r="B18" s="588">
        <v>5.0000000000000001E-3</v>
      </c>
      <c r="C18" s="588">
        <v>1.0500000000000001E-2</v>
      </c>
      <c r="D18" s="70"/>
      <c r="E18" s="591">
        <v>0.22</v>
      </c>
      <c r="F18" s="587">
        <f>C18*$F$10</f>
        <v>0.26669999999999999</v>
      </c>
      <c r="G18" s="66"/>
      <c r="H18" s="11">
        <v>1</v>
      </c>
      <c r="I18" s="592">
        <v>1</v>
      </c>
      <c r="J18"/>
      <c r="K18" s="492">
        <v>0</v>
      </c>
      <c r="L18" s="460">
        <v>14</v>
      </c>
      <c r="M18" s="481">
        <f t="shared" ref="M18:M27" si="0">IF(L18=0,0,L18-K18)</f>
        <v>14</v>
      </c>
      <c r="N18" s="485">
        <f>IFERROR(M18/K18,0)</f>
        <v>0</v>
      </c>
      <c r="O18" s="950">
        <f t="shared" ref="O18:O27" si="1">(1-$O$17)*L18</f>
        <v>8.4</v>
      </c>
      <c r="P18" s="464"/>
      <c r="Q18" s="209" t="str">
        <f>_xlfn.CONCAT(TEXT($B18,"#.000#"),"""","  to  ",TEXT($C18,"#.000#"),"""")</f>
        <v>.005"  to  .0105"</v>
      </c>
      <c r="R18" s="210" t="str">
        <f>_xlfn.CONCAT(TEXT($E18,"0.00"),"  to  ",TEXT($F18,"0.00"),"mm")</f>
        <v>0.22  to  0.27mm</v>
      </c>
      <c r="S18" s="161">
        <f>$L18</f>
        <v>14</v>
      </c>
      <c r="U18" s="386">
        <v>18.75</v>
      </c>
      <c r="V18" s="752">
        <f t="shared" ref="V18:V27" si="2">O18</f>
        <v>8.4</v>
      </c>
      <c r="W18" s="752">
        <f>U18-V18</f>
        <v>10.35</v>
      </c>
      <c r="X18" s="800">
        <f t="shared" ref="X18:X27" si="3">((U18/V18)-1)</f>
        <v>1.2321428571428572</v>
      </c>
      <c r="Z18" s="431" t="str">
        <f>_xlfn.CONCAT(TEXT($B18,"#.000#"),"""","  to  ",TEXT($C18,"#.000#"),"""")</f>
        <v>.005"  to  .0105"</v>
      </c>
      <c r="AA18" s="753">
        <f>$O18</f>
        <v>8.4</v>
      </c>
      <c r="AB18" s="786">
        <f>U18</f>
        <v>18.75</v>
      </c>
      <c r="AC18" s="753">
        <f>AB18-AA18</f>
        <v>10.35</v>
      </c>
      <c r="AD18" s="752"/>
      <c r="AE18" s="594" t="s">
        <v>700</v>
      </c>
    </row>
    <row r="19" spans="1:32" x14ac:dyDescent="0.25">
      <c r="B19" s="72">
        <f>C18+$C$15</f>
        <v>1.1000000000000001E-2</v>
      </c>
      <c r="C19" s="588">
        <v>3.0499999999999999E-2</v>
      </c>
      <c r="D19" s="70"/>
      <c r="E19" s="73">
        <f>F18+$F$15</f>
        <v>0.2767</v>
      </c>
      <c r="F19" s="587">
        <f>C19*$F$10</f>
        <v>0.77469999999999994</v>
      </c>
      <c r="G19" s="66"/>
      <c r="H19" s="11">
        <v>2</v>
      </c>
      <c r="I19" s="592">
        <v>1</v>
      </c>
      <c r="J19"/>
      <c r="K19" s="492">
        <v>0</v>
      </c>
      <c r="L19" s="460">
        <v>9</v>
      </c>
      <c r="M19" s="481">
        <f t="shared" ref="M19" si="4">IF(L19=0,0,L19-K19)</f>
        <v>9</v>
      </c>
      <c r="N19" s="485">
        <f t="shared" ref="N19" si="5">IFERROR(M19/K19,0)</f>
        <v>0</v>
      </c>
      <c r="O19" s="950">
        <f t="shared" ref="O19" si="6">(1-$O$17)*L19</f>
        <v>5.3999999999999995</v>
      </c>
      <c r="P19" s="464"/>
      <c r="Q19" s="212" t="str">
        <f t="shared" ref="Q19:Q27" si="7">_xlfn.CONCAT(TEXT($B19,"#.000#"),"""","  to  ",TEXT($C19,"#.000#"),"""")</f>
        <v>.011"  to  .0305"</v>
      </c>
      <c r="R19" s="213" t="str">
        <f t="shared" ref="R19:R27" si="8">_xlfn.CONCAT(TEXT($E19,"0.00"),"  to  ",TEXT($F19,"0.00"),"mm")</f>
        <v>0.28  to  0.77mm</v>
      </c>
      <c r="S19" s="597">
        <f t="shared" ref="S19:S27" si="9">$L19</f>
        <v>9</v>
      </c>
      <c r="U19" s="386"/>
      <c r="V19" s="752"/>
      <c r="W19" s="752"/>
      <c r="X19" s="800"/>
      <c r="Z19" s="431"/>
      <c r="AA19" s="753"/>
      <c r="AB19" s="786"/>
      <c r="AC19" s="753"/>
      <c r="AD19" s="752"/>
      <c r="AE19" s="594" t="s">
        <v>701</v>
      </c>
    </row>
    <row r="20" spans="1:32" x14ac:dyDescent="0.25">
      <c r="B20" s="72">
        <f t="shared" ref="B20:B27" si="10">C19+$C$15</f>
        <v>3.1E-2</v>
      </c>
      <c r="C20" s="588">
        <v>7.5499999999999998E-2</v>
      </c>
      <c r="D20" s="70"/>
      <c r="E20" s="73">
        <f t="shared" ref="E20:E27" si="11">F19+$F$15</f>
        <v>0.78469999999999995</v>
      </c>
      <c r="F20" s="589">
        <v>1.91</v>
      </c>
      <c r="G20" s="66"/>
      <c r="H20" s="11">
        <v>3</v>
      </c>
      <c r="I20" s="592">
        <v>1</v>
      </c>
      <c r="J20"/>
      <c r="K20" s="492">
        <v>0</v>
      </c>
      <c r="L20" s="460">
        <v>8.5</v>
      </c>
      <c r="M20" s="481">
        <f t="shared" si="0"/>
        <v>8.5</v>
      </c>
      <c r="N20" s="485">
        <f t="shared" ref="N20:N27" si="12">IFERROR(M20/K20,0)</f>
        <v>0</v>
      </c>
      <c r="O20" s="950">
        <f t="shared" si="1"/>
        <v>5.0999999999999996</v>
      </c>
      <c r="P20" s="464"/>
      <c r="Q20" s="209" t="str">
        <f t="shared" si="7"/>
        <v>.031"  to  .0755"</v>
      </c>
      <c r="R20" s="210" t="str">
        <f t="shared" si="8"/>
        <v>0.78  to  1.91mm</v>
      </c>
      <c r="S20" s="161">
        <f t="shared" si="9"/>
        <v>8.5</v>
      </c>
      <c r="U20" s="386">
        <v>15.75</v>
      </c>
      <c r="V20" s="752">
        <f t="shared" si="2"/>
        <v>5.0999999999999996</v>
      </c>
      <c r="W20" s="752">
        <f t="shared" ref="W20:W27" si="13">U20-V20</f>
        <v>10.65</v>
      </c>
      <c r="X20" s="800">
        <f t="shared" si="3"/>
        <v>2.0882352941176472</v>
      </c>
      <c r="Z20" s="789" t="str">
        <f t="shared" ref="Z20:Z27" si="14">_xlfn.CONCAT(TEXT($B20,"#.000#"),"""","  to  ",TEXT($C20,"#.000#"),"""")</f>
        <v>.031"  to  .0755"</v>
      </c>
      <c r="AA20" s="783">
        <f t="shared" ref="AA20:AA27" si="15">$O20</f>
        <v>5.0999999999999996</v>
      </c>
      <c r="AB20" s="782">
        <f t="shared" ref="AB20:AB27" si="16">U20</f>
        <v>15.75</v>
      </c>
      <c r="AC20" s="783">
        <f t="shared" ref="AC20:AC27" si="17">AB20-AA20</f>
        <v>10.65</v>
      </c>
      <c r="AD20" s="752"/>
      <c r="AE20" s="595" t="s">
        <v>702</v>
      </c>
    </row>
    <row r="21" spans="1:32" x14ac:dyDescent="0.25">
      <c r="B21" s="72">
        <f t="shared" si="10"/>
        <v>7.5999999999999998E-2</v>
      </c>
      <c r="C21" s="588">
        <v>0.18049999999999999</v>
      </c>
      <c r="D21" s="70"/>
      <c r="E21" s="73">
        <f t="shared" si="11"/>
        <v>1.92</v>
      </c>
      <c r="F21" s="589">
        <v>4.57</v>
      </c>
      <c r="G21" s="66"/>
      <c r="H21" s="11">
        <v>4</v>
      </c>
      <c r="I21" s="592">
        <v>2</v>
      </c>
      <c r="J21"/>
      <c r="K21" s="492">
        <v>0</v>
      </c>
      <c r="L21" s="460">
        <v>7</v>
      </c>
      <c r="M21" s="481">
        <f t="shared" si="0"/>
        <v>7</v>
      </c>
      <c r="N21" s="485">
        <f t="shared" si="12"/>
        <v>0</v>
      </c>
      <c r="O21" s="950">
        <f t="shared" si="1"/>
        <v>4.2</v>
      </c>
      <c r="P21" s="464"/>
      <c r="Q21" s="212" t="str">
        <f t="shared" si="7"/>
        <v>.076"  to  .1805"</v>
      </c>
      <c r="R21" s="213" t="str">
        <f t="shared" si="8"/>
        <v>1.92  to  4.57mm</v>
      </c>
      <c r="S21" s="597">
        <f t="shared" si="9"/>
        <v>7</v>
      </c>
      <c r="U21" s="386">
        <v>12.25</v>
      </c>
      <c r="V21" s="752">
        <f t="shared" si="2"/>
        <v>4.2</v>
      </c>
      <c r="W21" s="752">
        <f t="shared" si="13"/>
        <v>8.0500000000000007</v>
      </c>
      <c r="X21" s="801">
        <f t="shared" si="3"/>
        <v>1.9166666666666665</v>
      </c>
      <c r="Z21" s="431" t="str">
        <f t="shared" si="14"/>
        <v>.076"  to  .1805"</v>
      </c>
      <c r="AA21" s="753">
        <f t="shared" si="15"/>
        <v>4.2</v>
      </c>
      <c r="AB21" s="786">
        <f t="shared" si="16"/>
        <v>12.25</v>
      </c>
      <c r="AC21" s="753">
        <f t="shared" si="17"/>
        <v>8.0500000000000007</v>
      </c>
      <c r="AD21" s="752"/>
    </row>
    <row r="22" spans="1:32" x14ac:dyDescent="0.25">
      <c r="B22" s="72">
        <f t="shared" si="10"/>
        <v>0.18099999999999999</v>
      </c>
      <c r="C22" s="588">
        <v>0.28149999999999997</v>
      </c>
      <c r="D22" s="70"/>
      <c r="E22" s="73">
        <f t="shared" si="11"/>
        <v>4.58</v>
      </c>
      <c r="F22" s="589">
        <v>7.14</v>
      </c>
      <c r="G22" s="66"/>
      <c r="H22" s="11">
        <v>5</v>
      </c>
      <c r="I22" s="592">
        <v>3</v>
      </c>
      <c r="J22"/>
      <c r="K22" s="492">
        <v>0</v>
      </c>
      <c r="L22" s="460">
        <v>7.5</v>
      </c>
      <c r="M22" s="481">
        <f t="shared" si="0"/>
        <v>7.5</v>
      </c>
      <c r="N22" s="485">
        <f t="shared" si="12"/>
        <v>0</v>
      </c>
      <c r="O22" s="950">
        <f t="shared" si="1"/>
        <v>4.5</v>
      </c>
      <c r="P22" s="464"/>
      <c r="Q22" s="209" t="str">
        <f t="shared" si="7"/>
        <v>.181"  to  .2815"</v>
      </c>
      <c r="R22" s="210" t="str">
        <f t="shared" si="8"/>
        <v>4.58  to  7.14mm</v>
      </c>
      <c r="S22" s="161">
        <f t="shared" si="9"/>
        <v>7.5</v>
      </c>
      <c r="U22" s="386">
        <v>12.25</v>
      </c>
      <c r="V22" s="752">
        <f t="shared" si="2"/>
        <v>4.5</v>
      </c>
      <c r="W22" s="752">
        <f t="shared" si="13"/>
        <v>7.75</v>
      </c>
      <c r="X22" s="801">
        <f t="shared" si="3"/>
        <v>1.7222222222222223</v>
      </c>
      <c r="Z22" s="789" t="str">
        <f t="shared" si="14"/>
        <v>.181"  to  .2815"</v>
      </c>
      <c r="AA22" s="783">
        <f t="shared" si="15"/>
        <v>4.5</v>
      </c>
      <c r="AB22" s="782">
        <f t="shared" si="16"/>
        <v>12.25</v>
      </c>
      <c r="AC22" s="783">
        <f t="shared" si="17"/>
        <v>7.75</v>
      </c>
      <c r="AD22" s="752"/>
      <c r="AE22" s="11"/>
    </row>
    <row r="23" spans="1:32" x14ac:dyDescent="0.25">
      <c r="B23" s="72">
        <f t="shared" si="10"/>
        <v>0.28199999999999997</v>
      </c>
      <c r="C23" s="588">
        <v>0.40649999999999997</v>
      </c>
      <c r="D23" s="70"/>
      <c r="E23" s="73">
        <f t="shared" si="11"/>
        <v>7.1499999999999995</v>
      </c>
      <c r="F23" s="589">
        <v>10.31</v>
      </c>
      <c r="G23" s="66"/>
      <c r="H23" s="11">
        <v>6</v>
      </c>
      <c r="I23" s="592">
        <v>4</v>
      </c>
      <c r="J23"/>
      <c r="K23" s="492">
        <v>0</v>
      </c>
      <c r="L23" s="460">
        <v>8</v>
      </c>
      <c r="M23" s="481">
        <f t="shared" si="0"/>
        <v>8</v>
      </c>
      <c r="N23" s="485">
        <f t="shared" si="12"/>
        <v>0</v>
      </c>
      <c r="O23" s="950">
        <f t="shared" si="1"/>
        <v>4.8</v>
      </c>
      <c r="P23" s="464"/>
      <c r="Q23" s="212" t="str">
        <f t="shared" si="7"/>
        <v>.282"  to  .4065"</v>
      </c>
      <c r="R23" s="213" t="str">
        <f t="shared" si="8"/>
        <v>7.15  to  10.31mm</v>
      </c>
      <c r="S23" s="597">
        <f t="shared" si="9"/>
        <v>8</v>
      </c>
      <c r="U23" s="386">
        <v>12.5</v>
      </c>
      <c r="V23" s="752">
        <f t="shared" si="2"/>
        <v>4.8</v>
      </c>
      <c r="W23" s="752">
        <f t="shared" si="13"/>
        <v>7.7</v>
      </c>
      <c r="X23" s="801">
        <f t="shared" si="3"/>
        <v>1.604166666666667</v>
      </c>
      <c r="Z23" s="431" t="str">
        <f t="shared" si="14"/>
        <v>.282"  to  .4065"</v>
      </c>
      <c r="AA23" s="753">
        <f t="shared" si="15"/>
        <v>4.8</v>
      </c>
      <c r="AB23" s="786">
        <f t="shared" si="16"/>
        <v>12.5</v>
      </c>
      <c r="AC23" s="753">
        <f t="shared" si="17"/>
        <v>7.7</v>
      </c>
      <c r="AD23" s="752"/>
      <c r="AE23" s="11"/>
    </row>
    <row r="24" spans="1:32" x14ac:dyDescent="0.25">
      <c r="B24" s="72">
        <f t="shared" si="10"/>
        <v>0.40699999999999997</v>
      </c>
      <c r="C24" s="588">
        <v>0.51049999999999995</v>
      </c>
      <c r="D24" s="70"/>
      <c r="E24" s="73">
        <f t="shared" si="11"/>
        <v>10.32</v>
      </c>
      <c r="F24" s="589">
        <v>12.95</v>
      </c>
      <c r="G24" s="66"/>
      <c r="H24" s="11">
        <v>7</v>
      </c>
      <c r="I24" s="592">
        <v>5</v>
      </c>
      <c r="J24"/>
      <c r="K24" s="492">
        <v>0</v>
      </c>
      <c r="L24" s="460">
        <v>9.5</v>
      </c>
      <c r="M24" s="481">
        <f t="shared" si="0"/>
        <v>9.5</v>
      </c>
      <c r="N24" s="485">
        <f t="shared" si="12"/>
        <v>0</v>
      </c>
      <c r="O24" s="950">
        <f t="shared" si="1"/>
        <v>5.7</v>
      </c>
      <c r="P24" s="464"/>
      <c r="Q24" s="209" t="str">
        <f t="shared" si="7"/>
        <v>.407"  to  .5105"</v>
      </c>
      <c r="R24" s="210" t="str">
        <f t="shared" si="8"/>
        <v>10.32  to  12.95mm</v>
      </c>
      <c r="S24" s="161">
        <f t="shared" si="9"/>
        <v>9.5</v>
      </c>
      <c r="U24" s="386">
        <v>13.25</v>
      </c>
      <c r="V24" s="752">
        <f t="shared" si="2"/>
        <v>5.7</v>
      </c>
      <c r="W24" s="752">
        <f t="shared" si="13"/>
        <v>7.55</v>
      </c>
      <c r="X24" s="800">
        <f t="shared" si="3"/>
        <v>1.3245614035087718</v>
      </c>
      <c r="Z24" s="789" t="str">
        <f t="shared" si="14"/>
        <v>.407"  to  .5105"</v>
      </c>
      <c r="AA24" s="783">
        <f t="shared" si="15"/>
        <v>5.7</v>
      </c>
      <c r="AB24" s="782">
        <f t="shared" si="16"/>
        <v>13.25</v>
      </c>
      <c r="AC24" s="783">
        <f t="shared" si="17"/>
        <v>7.55</v>
      </c>
      <c r="AD24" s="752"/>
      <c r="AE24" s="11"/>
    </row>
    <row r="25" spans="1:32" x14ac:dyDescent="0.25">
      <c r="B25" s="72">
        <f t="shared" si="10"/>
        <v>0.5109999999999999</v>
      </c>
      <c r="C25" s="588">
        <v>0.63549999999999995</v>
      </c>
      <c r="D25" s="70"/>
      <c r="E25" s="73">
        <f t="shared" si="11"/>
        <v>12.959999999999999</v>
      </c>
      <c r="F25" s="589">
        <v>16.13</v>
      </c>
      <c r="G25" s="66"/>
      <c r="H25" s="11">
        <v>8</v>
      </c>
      <c r="I25" s="592">
        <v>6</v>
      </c>
      <c r="J25"/>
      <c r="K25" s="492">
        <v>0</v>
      </c>
      <c r="L25" s="460">
        <v>10.5</v>
      </c>
      <c r="M25" s="481">
        <f t="shared" si="0"/>
        <v>10.5</v>
      </c>
      <c r="N25" s="485">
        <f t="shared" si="12"/>
        <v>0</v>
      </c>
      <c r="O25" s="950">
        <f t="shared" si="1"/>
        <v>6.3</v>
      </c>
      <c r="P25" s="464"/>
      <c r="Q25" s="212" t="str">
        <f t="shared" si="7"/>
        <v>.511"  to  .6355"</v>
      </c>
      <c r="R25" s="213" t="str">
        <f t="shared" si="8"/>
        <v>12.96  to  16.13mm</v>
      </c>
      <c r="S25" s="597">
        <f t="shared" si="9"/>
        <v>10.5</v>
      </c>
      <c r="U25" s="386">
        <v>14.25</v>
      </c>
      <c r="V25" s="752">
        <f t="shared" si="2"/>
        <v>6.3</v>
      </c>
      <c r="W25" s="752">
        <f t="shared" si="13"/>
        <v>7.95</v>
      </c>
      <c r="X25" s="800">
        <f t="shared" si="3"/>
        <v>1.2619047619047619</v>
      </c>
      <c r="Z25" s="431" t="str">
        <f t="shared" si="14"/>
        <v>.511"  to  .6355"</v>
      </c>
      <c r="AA25" s="753">
        <f t="shared" si="15"/>
        <v>6.3</v>
      </c>
      <c r="AB25" s="786">
        <f t="shared" si="16"/>
        <v>14.25</v>
      </c>
      <c r="AC25" s="753">
        <f t="shared" si="17"/>
        <v>7.95</v>
      </c>
      <c r="AD25" s="752"/>
      <c r="AE25" s="11"/>
    </row>
    <row r="26" spans="1:32" x14ac:dyDescent="0.25">
      <c r="B26" s="72">
        <f t="shared" si="10"/>
        <v>0.6359999999999999</v>
      </c>
      <c r="C26" s="588">
        <v>0.76049999999999995</v>
      </c>
      <c r="D26" s="70"/>
      <c r="E26" s="73">
        <f t="shared" si="11"/>
        <v>16.14</v>
      </c>
      <c r="F26" s="589">
        <v>19.3</v>
      </c>
      <c r="G26" s="66"/>
      <c r="H26" s="11">
        <v>9</v>
      </c>
      <c r="I26" s="592">
        <v>7</v>
      </c>
      <c r="J26"/>
      <c r="K26" s="492">
        <v>0</v>
      </c>
      <c r="L26" s="460">
        <v>14</v>
      </c>
      <c r="M26" s="481">
        <f t="shared" si="0"/>
        <v>14</v>
      </c>
      <c r="N26" s="485">
        <f t="shared" si="12"/>
        <v>0</v>
      </c>
      <c r="O26" s="950">
        <f t="shared" si="1"/>
        <v>8.4</v>
      </c>
      <c r="P26" s="464"/>
      <c r="Q26" s="209" t="str">
        <f t="shared" si="7"/>
        <v>.636"  to  .7605"</v>
      </c>
      <c r="R26" s="210" t="str">
        <f t="shared" si="8"/>
        <v>16.14  to  19.30mm</v>
      </c>
      <c r="S26" s="161">
        <f t="shared" si="9"/>
        <v>14</v>
      </c>
      <c r="U26" s="386">
        <v>18</v>
      </c>
      <c r="V26" s="752">
        <f t="shared" si="2"/>
        <v>8.4</v>
      </c>
      <c r="W26" s="752">
        <f t="shared" si="13"/>
        <v>9.6</v>
      </c>
      <c r="X26" s="800">
        <f t="shared" si="3"/>
        <v>1.1428571428571428</v>
      </c>
      <c r="Z26" s="789" t="str">
        <f t="shared" si="14"/>
        <v>.636"  to  .7605"</v>
      </c>
      <c r="AA26" s="783">
        <f t="shared" si="15"/>
        <v>8.4</v>
      </c>
      <c r="AB26" s="782">
        <f t="shared" si="16"/>
        <v>18</v>
      </c>
      <c r="AC26" s="783">
        <f t="shared" si="17"/>
        <v>9.6</v>
      </c>
      <c r="AD26" s="752"/>
      <c r="AE26" s="11"/>
    </row>
    <row r="27" spans="1:32" ht="15.75" thickBot="1" x14ac:dyDescent="0.3">
      <c r="B27" s="72">
        <f t="shared" si="10"/>
        <v>0.7609999999999999</v>
      </c>
      <c r="C27" s="588">
        <v>1.0149999999999999</v>
      </c>
      <c r="D27" s="70"/>
      <c r="E27" s="73">
        <f t="shared" si="11"/>
        <v>19.310000000000002</v>
      </c>
      <c r="F27" s="589">
        <v>25.65</v>
      </c>
      <c r="G27" s="66"/>
      <c r="H27" s="11">
        <v>10</v>
      </c>
      <c r="I27" s="592">
        <v>8</v>
      </c>
      <c r="J27" s="66"/>
      <c r="K27" s="492">
        <v>0</v>
      </c>
      <c r="L27" s="460">
        <v>18</v>
      </c>
      <c r="M27" s="481">
        <f t="shared" si="0"/>
        <v>18</v>
      </c>
      <c r="N27" s="485">
        <f t="shared" si="12"/>
        <v>0</v>
      </c>
      <c r="O27" s="950">
        <f t="shared" si="1"/>
        <v>10.799999999999999</v>
      </c>
      <c r="P27" s="464"/>
      <c r="Q27" s="953" t="str">
        <f t="shared" si="7"/>
        <v>.761"  to  1.015"</v>
      </c>
      <c r="R27" s="954" t="str">
        <f t="shared" si="8"/>
        <v>19.31  to  25.65mm</v>
      </c>
      <c r="S27" s="955">
        <f t="shared" si="9"/>
        <v>18</v>
      </c>
      <c r="U27" s="386">
        <v>19.75</v>
      </c>
      <c r="V27" s="752">
        <f t="shared" si="2"/>
        <v>10.799999999999999</v>
      </c>
      <c r="W27" s="752">
        <f t="shared" si="13"/>
        <v>8.9500000000000011</v>
      </c>
      <c r="X27" s="800">
        <f t="shared" si="3"/>
        <v>0.82870370370370394</v>
      </c>
      <c r="Z27" s="748" t="str">
        <f t="shared" si="14"/>
        <v>.761"  to  1.015"</v>
      </c>
      <c r="AA27" s="787">
        <f t="shared" si="15"/>
        <v>10.799999999999999</v>
      </c>
      <c r="AB27" s="788">
        <f t="shared" si="16"/>
        <v>19.75</v>
      </c>
      <c r="AC27" s="787">
        <f t="shared" si="17"/>
        <v>8.9500000000000011</v>
      </c>
      <c r="AD27" s="752"/>
      <c r="AE27" s="11"/>
    </row>
    <row r="28" spans="1:32" ht="4.1500000000000004" customHeight="1" x14ac:dyDescent="0.25">
      <c r="B28" s="71"/>
      <c r="C28" s="71"/>
      <c r="D28" s="70"/>
      <c r="E28" s="71"/>
      <c r="F28" s="71"/>
      <c r="H28" s="70"/>
      <c r="S28" s="93"/>
      <c r="AE28" s="11"/>
    </row>
    <row r="29" spans="1:32" s="542" customFormat="1" x14ac:dyDescent="0.25">
      <c r="A29"/>
      <c r="B29" s="541"/>
      <c r="C29" s="541"/>
      <c r="D29" s="70"/>
      <c r="E29" s="541"/>
      <c r="F29" s="541"/>
      <c r="G29" s="540"/>
      <c r="H29" s="540"/>
      <c r="I29" s="541"/>
      <c r="J29" s="540"/>
      <c r="K29" s="540"/>
      <c r="L29" s="540"/>
      <c r="M29" s="540"/>
      <c r="N29" s="540"/>
      <c r="O29"/>
      <c r="P29"/>
      <c r="Q29" t="s">
        <v>686</v>
      </c>
      <c r="S29" s="93"/>
      <c r="U29" s="541"/>
      <c r="V29" s="541"/>
      <c r="W29" s="541"/>
      <c r="X29" s="541"/>
      <c r="Y29" s="541"/>
      <c r="Z29" s="11"/>
      <c r="AA29" s="541"/>
      <c r="AB29" s="541"/>
      <c r="AC29" s="541"/>
      <c r="AD29" s="541"/>
      <c r="AE29" s="11"/>
      <c r="AF29" s="541"/>
    </row>
    <row r="30" spans="1:32" s="542" customFormat="1" x14ac:dyDescent="0.25">
      <c r="A30"/>
      <c r="D30" s="540"/>
      <c r="G30" s="540"/>
      <c r="H30" s="540"/>
      <c r="I30" s="541"/>
      <c r="J30" s="540"/>
      <c r="K30" s="543"/>
      <c r="L30" s="540"/>
      <c r="M30" s="540"/>
      <c r="N30" s="540"/>
      <c r="O30"/>
      <c r="P30"/>
      <c r="Q30" s="35"/>
      <c r="S30" s="93"/>
      <c r="U30" s="541"/>
      <c r="V30" s="541"/>
      <c r="W30" s="541"/>
      <c r="X30" s="541"/>
      <c r="Y30" s="541"/>
      <c r="Z30" s="11"/>
      <c r="AA30" s="541"/>
      <c r="AB30" s="541"/>
      <c r="AC30" s="541"/>
      <c r="AD30" s="541"/>
      <c r="AE30" s="11"/>
      <c r="AF30" s="541"/>
    </row>
    <row r="31" spans="1:32" customFormat="1" ht="15.75" thickBot="1" x14ac:dyDescent="0.3">
      <c r="I31" s="7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</row>
    <row r="32" spans="1:32" ht="15.75" thickBot="1" x14ac:dyDescent="0.3">
      <c r="B32" s="59" t="s">
        <v>572</v>
      </c>
      <c r="C32" s="60">
        <v>1E-4</v>
      </c>
      <c r="D32" s="61"/>
      <c r="E32" s="59" t="s">
        <v>572</v>
      </c>
      <c r="F32" s="74">
        <v>1E-3</v>
      </c>
      <c r="I32" s="384" t="s">
        <v>197</v>
      </c>
      <c r="K32" s="537">
        <v>4.0000000000000003E-5</v>
      </c>
      <c r="L32" s="537">
        <v>1E-3</v>
      </c>
      <c r="Q32" s="770" t="str">
        <f>_xlfn.CONCAT("Class ",$I32,"  (",TEXT($K32,".0000#"),""""," or ",TEXT($L32,".000#"),"mm)")</f>
        <v>Class X  (.00004" or .001mm)</v>
      </c>
      <c r="R32" s="770"/>
      <c r="S32" s="770"/>
      <c r="AE32" s="598" t="s">
        <v>704</v>
      </c>
    </row>
    <row r="33" spans="2:31" ht="17.25" x14ac:dyDescent="0.4">
      <c r="B33" s="63" t="s">
        <v>634</v>
      </c>
      <c r="C33" s="64"/>
      <c r="E33" s="63" t="s">
        <v>649</v>
      </c>
      <c r="F33" s="65"/>
      <c r="G33" s="66"/>
      <c r="H33" s="66"/>
      <c r="J33" s="66"/>
      <c r="K33" s="66"/>
      <c r="L33" s="66"/>
      <c r="M33" s="66"/>
      <c r="N33" s="66"/>
      <c r="Q33" s="205" t="s">
        <v>3</v>
      </c>
      <c r="R33" s="206"/>
      <c r="S33" s="1058" t="s">
        <v>573</v>
      </c>
    </row>
    <row r="34" spans="2:31" x14ac:dyDescent="0.25">
      <c r="B34" s="67" t="s">
        <v>6</v>
      </c>
      <c r="C34" s="68"/>
      <c r="E34" s="67" t="s">
        <v>7</v>
      </c>
      <c r="F34" s="68"/>
      <c r="G34" s="66"/>
      <c r="H34" s="956" t="s">
        <v>1121</v>
      </c>
      <c r="I34" s="957" t="s">
        <v>698</v>
      </c>
      <c r="J34" s="66"/>
      <c r="K34" s="311" t="s">
        <v>632</v>
      </c>
      <c r="L34" s="344" t="s">
        <v>633</v>
      </c>
      <c r="M34" s="538" t="s">
        <v>636</v>
      </c>
      <c r="N34" s="539"/>
      <c r="O34" s="479">
        <v>0.2</v>
      </c>
      <c r="P34" s="488"/>
      <c r="Q34" s="207" t="s">
        <v>4</v>
      </c>
      <c r="R34" s="208" t="s">
        <v>5</v>
      </c>
      <c r="S34" s="1059"/>
      <c r="U34" s="16" t="s">
        <v>719</v>
      </c>
      <c r="V34" s="16" t="s">
        <v>898</v>
      </c>
      <c r="W34" s="16"/>
      <c r="X34" s="16" t="s">
        <v>721</v>
      </c>
    </row>
    <row r="35" spans="2:31" x14ac:dyDescent="0.25">
      <c r="B35" s="69">
        <v>5.0000000000000001E-3</v>
      </c>
      <c r="C35" s="958">
        <v>1.09E-2</v>
      </c>
      <c r="D35" s="70"/>
      <c r="E35" s="75">
        <v>0.22</v>
      </c>
      <c r="F35" s="76">
        <f t="shared" ref="F35:F43" si="18">ROUND(C35*$F$10,3)</f>
        <v>0.27700000000000002</v>
      </c>
      <c r="G35" s="66"/>
      <c r="H35" s="11">
        <v>1</v>
      </c>
      <c r="I35" s="592">
        <v>1</v>
      </c>
      <c r="J35" s="66"/>
      <c r="K35" s="492">
        <v>0</v>
      </c>
      <c r="L35" s="460">
        <v>42</v>
      </c>
      <c r="M35" s="481">
        <f t="shared" ref="M35:M36" si="19">IF(L35=0,0,L35-K35)</f>
        <v>42</v>
      </c>
      <c r="N35" s="485">
        <f t="shared" ref="N35:N36" si="20">IFERROR(M35/K35,0)</f>
        <v>0</v>
      </c>
      <c r="O35" s="464">
        <f>(1-$O$34)*L35</f>
        <v>33.6</v>
      </c>
      <c r="P35" s="464"/>
      <c r="Q35" s="209" t="str">
        <f>_xlfn.CONCAT(TEXT($B35,"#.000#"),"""","  to  ",TEXT($C35,"#.000#"),"""")</f>
        <v>.005"  to  .0109"</v>
      </c>
      <c r="R35" s="210" t="str">
        <f t="shared" ref="R35:R44" si="21">_xlfn.CONCAT(TEXT($E35,"0.000"),"  to  ",TEXT($F35,"0.000"),"mm")</f>
        <v>0.220  to  0.277mm</v>
      </c>
      <c r="S35" s="161">
        <f>$L35</f>
        <v>42</v>
      </c>
      <c r="U35" s="386">
        <v>18.75</v>
      </c>
      <c r="V35" s="752">
        <f t="shared" ref="V35:V44" si="22">O35</f>
        <v>33.6</v>
      </c>
      <c r="W35" s="752"/>
      <c r="X35" s="802">
        <f t="shared" ref="X35:X44" si="23">(V35/U35)-1</f>
        <v>0.79200000000000004</v>
      </c>
      <c r="AE35" s="619"/>
    </row>
    <row r="36" spans="2:31" x14ac:dyDescent="0.25">
      <c r="B36" s="72">
        <f>C35+$C$32</f>
        <v>1.0999999999999999E-2</v>
      </c>
      <c r="C36" s="958">
        <v>3.09E-2</v>
      </c>
      <c r="D36" s="70"/>
      <c r="E36" s="76">
        <f>F35+$F$32</f>
        <v>0.27800000000000002</v>
      </c>
      <c r="F36" s="76">
        <f t="shared" si="18"/>
        <v>0.78500000000000003</v>
      </c>
      <c r="G36" s="66"/>
      <c r="H36" s="11">
        <v>2</v>
      </c>
      <c r="I36" s="592">
        <v>1</v>
      </c>
      <c r="J36" s="66"/>
      <c r="K36" s="492">
        <v>0</v>
      </c>
      <c r="L36" s="460">
        <v>41</v>
      </c>
      <c r="M36" s="481">
        <f t="shared" si="19"/>
        <v>41</v>
      </c>
      <c r="N36" s="485">
        <f t="shared" si="20"/>
        <v>0</v>
      </c>
      <c r="O36" s="464">
        <f t="shared" ref="O36:O44" si="24">(1-$O$34)*L36</f>
        <v>32.800000000000004</v>
      </c>
      <c r="P36" s="464"/>
      <c r="Q36" s="212" t="str">
        <f t="shared" ref="Q36:Q44" si="25">_xlfn.CONCAT(TEXT($B36,"#.000#"),"""","  to  ",TEXT($C36,"#.000#"),"""")</f>
        <v>.011"  to  .0309"</v>
      </c>
      <c r="R36" s="213" t="str">
        <f t="shared" si="21"/>
        <v>0.278  to  0.785mm</v>
      </c>
      <c r="S36" s="597">
        <f t="shared" ref="S36:S44" si="26">$L36</f>
        <v>41</v>
      </c>
      <c r="U36" s="386"/>
      <c r="V36" s="752"/>
      <c r="W36" s="752"/>
      <c r="X36" s="802"/>
      <c r="AE36" s="619"/>
    </row>
    <row r="37" spans="2:31" x14ac:dyDescent="0.25">
      <c r="B37" s="72">
        <f t="shared" ref="B37:B44" si="27">C36+$C$32</f>
        <v>3.1E-2</v>
      </c>
      <c r="C37" s="958">
        <v>7.5899999999999995E-2</v>
      </c>
      <c r="D37" s="70"/>
      <c r="E37" s="76">
        <f t="shared" ref="E37:E44" si="28">F36+$F$32</f>
        <v>0.78600000000000003</v>
      </c>
      <c r="F37" s="76">
        <f t="shared" si="18"/>
        <v>1.9279999999999999</v>
      </c>
      <c r="G37" s="66"/>
      <c r="H37" s="11">
        <v>3</v>
      </c>
      <c r="I37" s="592">
        <v>1</v>
      </c>
      <c r="J37" s="66"/>
      <c r="K37" s="492">
        <v>0</v>
      </c>
      <c r="L37" s="460">
        <v>33.5</v>
      </c>
      <c r="M37" s="481">
        <f>IF(L37=0,0,L37-K37)</f>
        <v>33.5</v>
      </c>
      <c r="N37" s="485">
        <f t="shared" ref="N37:N44" si="29">IFERROR(M37/K37,0)</f>
        <v>0</v>
      </c>
      <c r="O37" s="464">
        <f t="shared" si="24"/>
        <v>26.8</v>
      </c>
      <c r="P37" s="464"/>
      <c r="Q37" s="209" t="str">
        <f t="shared" si="25"/>
        <v>.031"  to  .0759"</v>
      </c>
      <c r="R37" s="210" t="str">
        <f t="shared" si="21"/>
        <v>0.786  to  1.928mm</v>
      </c>
      <c r="S37" s="161">
        <f t="shared" si="26"/>
        <v>33.5</v>
      </c>
      <c r="U37" s="386">
        <v>15.75</v>
      </c>
      <c r="V37" s="752">
        <f t="shared" si="22"/>
        <v>26.8</v>
      </c>
      <c r="W37" s="752"/>
      <c r="X37" s="802">
        <f t="shared" si="23"/>
        <v>0.70158730158730154</v>
      </c>
      <c r="AE37" s="619"/>
    </row>
    <row r="38" spans="2:31" x14ac:dyDescent="0.25">
      <c r="B38" s="72">
        <f>C37+$C$32</f>
        <v>7.5999999999999998E-2</v>
      </c>
      <c r="C38" s="958">
        <v>0.18090000000000001</v>
      </c>
      <c r="D38" s="70"/>
      <c r="E38" s="76">
        <f t="shared" si="28"/>
        <v>1.9289999999999998</v>
      </c>
      <c r="F38" s="76">
        <f t="shared" si="18"/>
        <v>4.5949999999999998</v>
      </c>
      <c r="G38" s="66"/>
      <c r="H38" s="11">
        <v>4</v>
      </c>
      <c r="I38" s="592">
        <v>2</v>
      </c>
      <c r="J38" s="66"/>
      <c r="K38" s="492">
        <v>26</v>
      </c>
      <c r="L38" s="460">
        <v>30</v>
      </c>
      <c r="M38" s="481">
        <f t="shared" ref="M38:M44" si="30">IF(L38=0,0,L38-K38)</f>
        <v>4</v>
      </c>
      <c r="N38" s="485">
        <f t="shared" si="29"/>
        <v>0.15384615384615385</v>
      </c>
      <c r="O38" s="464">
        <f t="shared" si="24"/>
        <v>24</v>
      </c>
      <c r="P38" s="464"/>
      <c r="Q38" s="212" t="str">
        <f t="shared" si="25"/>
        <v>.076"  to  .1809"</v>
      </c>
      <c r="R38" s="213" t="str">
        <f t="shared" si="21"/>
        <v>1.929  to  4.595mm</v>
      </c>
      <c r="S38" s="597">
        <f t="shared" si="26"/>
        <v>30</v>
      </c>
      <c r="U38" s="386">
        <v>12.25</v>
      </c>
      <c r="V38" s="752">
        <f t="shared" si="22"/>
        <v>24</v>
      </c>
      <c r="W38" s="752"/>
      <c r="X38" s="802">
        <f t="shared" si="23"/>
        <v>0.95918367346938771</v>
      </c>
      <c r="AE38" s="619"/>
    </row>
    <row r="39" spans="2:31" x14ac:dyDescent="0.25">
      <c r="B39" s="72">
        <f t="shared" si="27"/>
        <v>0.18099999999999999</v>
      </c>
      <c r="C39" s="958">
        <v>0.28189999999999998</v>
      </c>
      <c r="D39" s="70"/>
      <c r="E39" s="76">
        <f t="shared" si="28"/>
        <v>4.5960000000000001</v>
      </c>
      <c r="F39" s="76">
        <f t="shared" si="18"/>
        <v>7.16</v>
      </c>
      <c r="G39" s="66"/>
      <c r="H39" s="11">
        <v>5</v>
      </c>
      <c r="I39" s="592">
        <v>3</v>
      </c>
      <c r="J39" s="66"/>
      <c r="K39" s="492">
        <v>20.25</v>
      </c>
      <c r="L39" s="460">
        <v>31</v>
      </c>
      <c r="M39" s="481">
        <f t="shared" si="30"/>
        <v>10.75</v>
      </c>
      <c r="N39" s="485">
        <f t="shared" si="29"/>
        <v>0.53086419753086422</v>
      </c>
      <c r="O39" s="464">
        <f t="shared" si="24"/>
        <v>24.8</v>
      </c>
      <c r="P39" s="464"/>
      <c r="Q39" s="209" t="str">
        <f t="shared" si="25"/>
        <v>.181"  to  .2819"</v>
      </c>
      <c r="R39" s="210" t="str">
        <f t="shared" si="21"/>
        <v>4.596  to  7.160mm</v>
      </c>
      <c r="S39" s="161">
        <f t="shared" si="26"/>
        <v>31</v>
      </c>
      <c r="U39" s="386">
        <v>12.25</v>
      </c>
      <c r="V39" s="752">
        <f t="shared" si="22"/>
        <v>24.8</v>
      </c>
      <c r="W39" s="752"/>
      <c r="X39" s="802">
        <f t="shared" si="23"/>
        <v>1.0244897959183672</v>
      </c>
      <c r="AE39" s="619"/>
    </row>
    <row r="40" spans="2:31" x14ac:dyDescent="0.25">
      <c r="B40" s="72">
        <f t="shared" si="27"/>
        <v>0.28199999999999997</v>
      </c>
      <c r="C40" s="958">
        <v>0.40689999999999998</v>
      </c>
      <c r="D40" s="70"/>
      <c r="E40" s="76">
        <f t="shared" si="28"/>
        <v>7.1610000000000005</v>
      </c>
      <c r="F40" s="76">
        <f t="shared" si="18"/>
        <v>10.335000000000001</v>
      </c>
      <c r="G40" s="66"/>
      <c r="H40" s="11">
        <v>6</v>
      </c>
      <c r="I40" s="592">
        <v>4</v>
      </c>
      <c r="J40" s="66"/>
      <c r="K40" s="492">
        <v>20.5</v>
      </c>
      <c r="L40" s="460">
        <v>32.5</v>
      </c>
      <c r="M40" s="481">
        <f t="shared" si="30"/>
        <v>12</v>
      </c>
      <c r="N40" s="485">
        <f t="shared" si="29"/>
        <v>0.58536585365853655</v>
      </c>
      <c r="O40" s="464">
        <f t="shared" si="24"/>
        <v>26</v>
      </c>
      <c r="P40" s="464"/>
      <c r="Q40" s="212" t="str">
        <f t="shared" si="25"/>
        <v>.282"  to  .4069"</v>
      </c>
      <c r="R40" s="213" t="str">
        <f t="shared" si="21"/>
        <v>7.161  to  10.335mm</v>
      </c>
      <c r="S40" s="597">
        <f t="shared" si="26"/>
        <v>32.5</v>
      </c>
      <c r="U40" s="386">
        <v>12.5</v>
      </c>
      <c r="V40" s="752">
        <f t="shared" si="22"/>
        <v>26</v>
      </c>
      <c r="W40" s="752"/>
      <c r="X40" s="802">
        <f t="shared" si="23"/>
        <v>1.08</v>
      </c>
      <c r="AE40" s="619"/>
    </row>
    <row r="41" spans="2:31" x14ac:dyDescent="0.25">
      <c r="B41" s="72">
        <f t="shared" si="27"/>
        <v>0.40699999999999997</v>
      </c>
      <c r="C41" s="958">
        <v>0.51090000000000002</v>
      </c>
      <c r="D41" s="70"/>
      <c r="E41" s="76">
        <f t="shared" si="28"/>
        <v>10.336</v>
      </c>
      <c r="F41" s="76">
        <f t="shared" si="18"/>
        <v>12.977</v>
      </c>
      <c r="G41" s="66"/>
      <c r="H41" s="11">
        <v>7</v>
      </c>
      <c r="I41" s="592">
        <v>5</v>
      </c>
      <c r="J41" s="66"/>
      <c r="K41" s="492">
        <v>21.5</v>
      </c>
      <c r="L41" s="460">
        <v>34</v>
      </c>
      <c r="M41" s="481">
        <f t="shared" si="30"/>
        <v>12.5</v>
      </c>
      <c r="N41" s="485">
        <f t="shared" si="29"/>
        <v>0.58139534883720934</v>
      </c>
      <c r="O41" s="464">
        <f t="shared" si="24"/>
        <v>27.200000000000003</v>
      </c>
      <c r="P41" s="464"/>
      <c r="Q41" s="209" t="str">
        <f t="shared" si="25"/>
        <v>.407"  to  .5109"</v>
      </c>
      <c r="R41" s="210" t="str">
        <f t="shared" si="21"/>
        <v>10.336  to  12.977mm</v>
      </c>
      <c r="S41" s="161">
        <f t="shared" si="26"/>
        <v>34</v>
      </c>
      <c r="U41" s="386">
        <v>13.25</v>
      </c>
      <c r="V41" s="752">
        <f t="shared" si="22"/>
        <v>27.200000000000003</v>
      </c>
      <c r="W41" s="752"/>
      <c r="X41" s="802">
        <f t="shared" si="23"/>
        <v>1.0528301886792457</v>
      </c>
      <c r="AE41" s="619"/>
    </row>
    <row r="42" spans="2:31" x14ac:dyDescent="0.25">
      <c r="B42" s="72">
        <f t="shared" si="27"/>
        <v>0.51100000000000001</v>
      </c>
      <c r="C42" s="958">
        <v>0.63590000000000002</v>
      </c>
      <c r="D42" s="70"/>
      <c r="E42" s="76">
        <f t="shared" si="28"/>
        <v>12.978</v>
      </c>
      <c r="F42" s="76">
        <f t="shared" si="18"/>
        <v>16.152000000000001</v>
      </c>
      <c r="G42" s="66"/>
      <c r="H42" s="11">
        <v>8</v>
      </c>
      <c r="I42" s="592">
        <v>6</v>
      </c>
      <c r="J42" s="66"/>
      <c r="K42" s="492">
        <v>23.5</v>
      </c>
      <c r="L42" s="460">
        <v>35.5</v>
      </c>
      <c r="M42" s="481">
        <f t="shared" si="30"/>
        <v>12</v>
      </c>
      <c r="N42" s="485">
        <f t="shared" si="29"/>
        <v>0.51063829787234039</v>
      </c>
      <c r="O42" s="464">
        <f t="shared" si="24"/>
        <v>28.400000000000002</v>
      </c>
      <c r="P42" s="464"/>
      <c r="Q42" s="212" t="str">
        <f t="shared" si="25"/>
        <v>.511"  to  .6359"</v>
      </c>
      <c r="R42" s="213" t="str">
        <f t="shared" si="21"/>
        <v>12.978  to  16.152mm</v>
      </c>
      <c r="S42" s="597">
        <f t="shared" si="26"/>
        <v>35.5</v>
      </c>
      <c r="U42" s="386">
        <v>14.25</v>
      </c>
      <c r="V42" s="752">
        <f t="shared" si="22"/>
        <v>28.400000000000002</v>
      </c>
      <c r="W42" s="752"/>
      <c r="X42" s="802">
        <f t="shared" si="23"/>
        <v>0.99298245614035108</v>
      </c>
      <c r="AE42" s="619"/>
    </row>
    <row r="43" spans="2:31" x14ac:dyDescent="0.25">
      <c r="B43" s="72">
        <f t="shared" si="27"/>
        <v>0.63600000000000001</v>
      </c>
      <c r="C43" s="958">
        <v>0.76090000000000002</v>
      </c>
      <c r="D43" s="70"/>
      <c r="E43" s="76">
        <f t="shared" si="28"/>
        <v>16.153000000000002</v>
      </c>
      <c r="F43" s="76">
        <f t="shared" si="18"/>
        <v>19.327000000000002</v>
      </c>
      <c r="G43" s="66"/>
      <c r="H43" s="11">
        <v>9</v>
      </c>
      <c r="I43" s="592">
        <v>7</v>
      </c>
      <c r="J43" s="66"/>
      <c r="K43" s="492">
        <v>29.5</v>
      </c>
      <c r="L43" s="460">
        <v>38</v>
      </c>
      <c r="M43" s="481">
        <f t="shared" si="30"/>
        <v>8.5</v>
      </c>
      <c r="N43" s="485">
        <f t="shared" si="29"/>
        <v>0.28813559322033899</v>
      </c>
      <c r="O43" s="464">
        <f t="shared" si="24"/>
        <v>30.400000000000002</v>
      </c>
      <c r="P43" s="464"/>
      <c r="Q43" s="209" t="str">
        <f t="shared" si="25"/>
        <v>.636"  to  .7609"</v>
      </c>
      <c r="R43" s="210" t="str">
        <f t="shared" si="21"/>
        <v>16.153  to  19.327mm</v>
      </c>
      <c r="S43" s="161">
        <f t="shared" si="26"/>
        <v>38</v>
      </c>
      <c r="U43" s="386">
        <v>18</v>
      </c>
      <c r="V43" s="752">
        <f t="shared" si="22"/>
        <v>30.400000000000002</v>
      </c>
      <c r="W43" s="752"/>
      <c r="X43" s="802">
        <f t="shared" si="23"/>
        <v>0.68888888888888911</v>
      </c>
      <c r="AE43" s="619"/>
    </row>
    <row r="44" spans="2:31" ht="15.75" thickBot="1" x14ac:dyDescent="0.3">
      <c r="B44" s="72">
        <f t="shared" si="27"/>
        <v>0.76100000000000001</v>
      </c>
      <c r="C44" s="959">
        <v>1.0149999999999999</v>
      </c>
      <c r="D44" s="70"/>
      <c r="E44" s="76">
        <f t="shared" si="28"/>
        <v>19.328000000000003</v>
      </c>
      <c r="F44" s="590">
        <v>25.65</v>
      </c>
      <c r="G44" s="66"/>
      <c r="H44" s="11">
        <v>10</v>
      </c>
      <c r="I44" s="592">
        <v>8</v>
      </c>
      <c r="J44" s="66"/>
      <c r="K44" s="492">
        <v>32.5</v>
      </c>
      <c r="L44" s="460">
        <v>40</v>
      </c>
      <c r="M44" s="481">
        <f t="shared" si="30"/>
        <v>7.5</v>
      </c>
      <c r="N44" s="485">
        <f t="shared" si="29"/>
        <v>0.23076923076923078</v>
      </c>
      <c r="O44" s="464">
        <f t="shared" si="24"/>
        <v>32</v>
      </c>
      <c r="P44" s="464"/>
      <c r="Q44" s="953" t="str">
        <f t="shared" si="25"/>
        <v>.761"  to  1.015"</v>
      </c>
      <c r="R44" s="954" t="str">
        <f t="shared" si="21"/>
        <v>19.328  to  25.650mm</v>
      </c>
      <c r="S44" s="955">
        <f t="shared" si="26"/>
        <v>40</v>
      </c>
      <c r="U44" s="386">
        <v>19.75</v>
      </c>
      <c r="V44" s="752">
        <f t="shared" si="22"/>
        <v>32</v>
      </c>
      <c r="W44" s="752"/>
      <c r="X44" s="802">
        <f t="shared" si="23"/>
        <v>0.620253164556962</v>
      </c>
      <c r="AA44" s="11" t="s">
        <v>907</v>
      </c>
      <c r="AE44" s="619"/>
    </row>
    <row r="45" spans="2:31" ht="4.1500000000000004" customHeight="1" x14ac:dyDescent="0.25">
      <c r="B45" s="72"/>
      <c r="C45" s="71"/>
      <c r="D45" s="70"/>
      <c r="E45" s="71"/>
      <c r="F45" s="71"/>
      <c r="L45" s="951"/>
      <c r="S45" s="93"/>
    </row>
    <row r="46" spans="2:31" x14ac:dyDescent="0.25">
      <c r="B46" s="71"/>
      <c r="C46" s="71"/>
      <c r="D46" s="70"/>
      <c r="E46" s="71"/>
      <c r="F46" s="71"/>
      <c r="L46" s="951"/>
      <c r="Q46" t="s">
        <v>764</v>
      </c>
      <c r="S46" s="93"/>
    </row>
    <row r="47" spans="2:31" x14ac:dyDescent="0.25">
      <c r="B47" s="71"/>
      <c r="C47" s="71"/>
      <c r="D47" s="70"/>
      <c r="E47" s="71"/>
      <c r="F47" s="71"/>
      <c r="L47" s="951"/>
      <c r="S47" s="93"/>
    </row>
    <row r="48" spans="2:31" ht="15.75" thickBot="1" x14ac:dyDescent="0.3">
      <c r="B48" s="71"/>
      <c r="C48" s="71"/>
      <c r="D48" s="70"/>
      <c r="E48" s="71"/>
      <c r="F48" s="71"/>
      <c r="L48" s="951"/>
      <c r="S48" s="93"/>
    </row>
    <row r="49" spans="1:34" ht="15.75" thickBot="1" x14ac:dyDescent="0.3">
      <c r="B49" s="59" t="s">
        <v>572</v>
      </c>
      <c r="C49" s="60">
        <v>1E-4</v>
      </c>
      <c r="D49" s="61"/>
      <c r="E49" s="59" t="s">
        <v>572</v>
      </c>
      <c r="F49" s="74">
        <v>1E-3</v>
      </c>
      <c r="I49" s="384" t="s">
        <v>198</v>
      </c>
      <c r="K49" s="537">
        <v>2.0000000000000002E-5</v>
      </c>
      <c r="L49" s="537">
        <v>5.0000000000000001E-4</v>
      </c>
      <c r="Q49" s="770" t="str">
        <f>_xlfn.CONCAT("Class ",$I49,"  (",TEXT($K49,".0000#"),""""," or ",TEXT($L49,".000#"),"mm)")</f>
        <v>Class XX  (.00002" or .0005mm)</v>
      </c>
      <c r="R49" s="770"/>
      <c r="S49" s="770"/>
      <c r="AE49" s="603" t="s">
        <v>722</v>
      </c>
    </row>
    <row r="50" spans="1:34" ht="17.25" x14ac:dyDescent="0.4">
      <c r="B50" s="63" t="s">
        <v>634</v>
      </c>
      <c r="C50" s="64"/>
      <c r="E50" s="63" t="s">
        <v>649</v>
      </c>
      <c r="F50" s="65"/>
      <c r="G50" s="66"/>
      <c r="H50" s="66"/>
      <c r="J50" s="66"/>
      <c r="K50" s="66"/>
      <c r="L50" s="66"/>
      <c r="M50" s="66"/>
      <c r="N50" s="66"/>
      <c r="Q50" s="205" t="s">
        <v>3</v>
      </c>
      <c r="R50" s="206"/>
      <c r="S50" s="1058" t="s">
        <v>573</v>
      </c>
    </row>
    <row r="51" spans="1:34" x14ac:dyDescent="0.25">
      <c r="B51" s="67" t="s">
        <v>6</v>
      </c>
      <c r="C51" s="68"/>
      <c r="E51" s="67" t="s">
        <v>7</v>
      </c>
      <c r="F51" s="68"/>
      <c r="G51" s="66"/>
      <c r="H51" s="956" t="s">
        <v>1121</v>
      </c>
      <c r="I51" s="957" t="s">
        <v>698</v>
      </c>
      <c r="J51" s="66"/>
      <c r="K51" s="311" t="s">
        <v>632</v>
      </c>
      <c r="L51" s="344" t="s">
        <v>633</v>
      </c>
      <c r="M51" s="538" t="s">
        <v>636</v>
      </c>
      <c r="N51" s="539"/>
      <c r="O51" s="479">
        <v>0.2</v>
      </c>
      <c r="P51" s="488"/>
      <c r="Q51" s="207" t="s">
        <v>4</v>
      </c>
      <c r="R51" s="208" t="s">
        <v>5</v>
      </c>
      <c r="S51" s="1059"/>
      <c r="U51" s="803" t="s">
        <v>719</v>
      </c>
      <c r="V51" s="16" t="s">
        <v>898</v>
      </c>
      <c r="W51" s="16"/>
      <c r="X51" s="16" t="s">
        <v>721</v>
      </c>
      <c r="AF51" s="521"/>
    </row>
    <row r="52" spans="1:34" x14ac:dyDescent="0.25">
      <c r="B52" s="69">
        <v>5.0000000000000001E-3</v>
      </c>
      <c r="C52" s="958">
        <v>1.09E-2</v>
      </c>
      <c r="D52" s="70"/>
      <c r="E52" s="75">
        <v>0.22</v>
      </c>
      <c r="F52" s="76">
        <f t="shared" ref="F52:F60" si="31">ROUND(C52*$F$10,3)</f>
        <v>0.27700000000000002</v>
      </c>
      <c r="G52" s="66"/>
      <c r="H52" s="11">
        <v>1</v>
      </c>
      <c r="I52" s="592">
        <v>1</v>
      </c>
      <c r="J52" s="66"/>
      <c r="K52" s="492">
        <v>0</v>
      </c>
      <c r="L52" s="460">
        <v>96</v>
      </c>
      <c r="M52" s="481">
        <f>IF(L52=0,0,L52-K52)</f>
        <v>96</v>
      </c>
      <c r="N52" s="485">
        <f t="shared" ref="N52:N61" si="32">IFERROR(M52/K52,0)</f>
        <v>0</v>
      </c>
      <c r="O52" s="464">
        <f>(1-$O$51)*L52</f>
        <v>76.800000000000011</v>
      </c>
      <c r="P52" s="464"/>
      <c r="Q52" s="209" t="str">
        <f>_xlfn.CONCAT(TEXT($B52,"#.000#"),"""","  to  ",TEXT($C52,"#.000#"),"""")</f>
        <v>.005"  to  .0109"</v>
      </c>
      <c r="R52" s="210" t="str">
        <f t="shared" ref="R52:R61" si="33">_xlfn.CONCAT(TEXT($E52,"0.000"),"  to  ",TEXT($F52,"0.000"),"mm")</f>
        <v>0.220  to  0.277mm</v>
      </c>
      <c r="S52" s="161">
        <f>$L52</f>
        <v>96</v>
      </c>
      <c r="U52" s="386">
        <v>18.75</v>
      </c>
      <c r="V52" s="752">
        <f t="shared" ref="V52:V61" si="34">O52</f>
        <v>76.800000000000011</v>
      </c>
      <c r="W52" s="752"/>
      <c r="X52" s="802">
        <f t="shared" ref="X52:X61" si="35">(V52/U52)-1</f>
        <v>3.096000000000001</v>
      </c>
    </row>
    <row r="53" spans="1:34" x14ac:dyDescent="0.25">
      <c r="B53" s="72">
        <f>C52+$C$49</f>
        <v>1.0999999999999999E-2</v>
      </c>
      <c r="C53" s="958">
        <v>3.09E-2</v>
      </c>
      <c r="D53" s="70"/>
      <c r="E53" s="76">
        <f>F52+$F$49</f>
        <v>0.27800000000000002</v>
      </c>
      <c r="F53" s="76">
        <f t="shared" si="31"/>
        <v>0.78500000000000003</v>
      </c>
      <c r="G53" s="66"/>
      <c r="H53" s="11">
        <v>2</v>
      </c>
      <c r="I53" s="592">
        <v>1</v>
      </c>
      <c r="J53" s="66"/>
      <c r="K53" s="492"/>
      <c r="L53" s="460">
        <v>90</v>
      </c>
      <c r="M53" s="481"/>
      <c r="N53" s="485"/>
      <c r="O53" s="464"/>
      <c r="P53" s="464"/>
      <c r="Q53" s="212" t="str">
        <f t="shared" ref="Q53:Q61" si="36">_xlfn.CONCAT(TEXT($B53,"#.000#"),"""","  to  ",TEXT($C53,"#.000#"),"""")</f>
        <v>.011"  to  .0309"</v>
      </c>
      <c r="R53" s="213" t="str">
        <f t="shared" si="33"/>
        <v>0.278  to  0.785mm</v>
      </c>
      <c r="S53" s="597">
        <f t="shared" ref="S53:S61" si="37">$L53</f>
        <v>90</v>
      </c>
      <c r="U53" s="386"/>
      <c r="V53" s="752"/>
      <c r="W53" s="752"/>
      <c r="X53" s="802"/>
      <c r="AE53" s="619"/>
    </row>
    <row r="54" spans="1:34" x14ac:dyDescent="0.25">
      <c r="B54" s="72">
        <f t="shared" ref="B54:B61" si="38">C53+$C$49</f>
        <v>3.1E-2</v>
      </c>
      <c r="C54" s="958">
        <v>7.5899999999999995E-2</v>
      </c>
      <c r="D54" s="70"/>
      <c r="E54" s="76">
        <f t="shared" ref="E54:E60" si="39">F53+$F$49</f>
        <v>0.78600000000000003</v>
      </c>
      <c r="F54" s="76">
        <f t="shared" si="31"/>
        <v>1.9279999999999999</v>
      </c>
      <c r="G54" s="66"/>
      <c r="H54" s="11">
        <v>3</v>
      </c>
      <c r="I54" s="592">
        <v>1</v>
      </c>
      <c r="J54" s="66"/>
      <c r="K54" s="492">
        <v>0</v>
      </c>
      <c r="L54" s="460">
        <v>78</v>
      </c>
      <c r="M54" s="481">
        <f>IF(L54=0,0,L54-K54)</f>
        <v>78</v>
      </c>
      <c r="N54" s="485">
        <f t="shared" si="32"/>
        <v>0</v>
      </c>
      <c r="O54" s="464">
        <f t="shared" ref="O54:O61" si="40">(1-$O$51)*L54</f>
        <v>62.400000000000006</v>
      </c>
      <c r="P54" s="464"/>
      <c r="Q54" s="209" t="str">
        <f t="shared" si="36"/>
        <v>.031"  to  .0759"</v>
      </c>
      <c r="R54" s="210" t="str">
        <f t="shared" si="33"/>
        <v>0.786  to  1.928mm</v>
      </c>
      <c r="S54" s="161">
        <f t="shared" si="37"/>
        <v>78</v>
      </c>
      <c r="U54" s="386">
        <v>15.75</v>
      </c>
      <c r="V54" s="752">
        <f t="shared" si="34"/>
        <v>62.400000000000006</v>
      </c>
      <c r="W54" s="752"/>
      <c r="X54" s="802">
        <f t="shared" si="35"/>
        <v>2.9619047619047625</v>
      </c>
    </row>
    <row r="55" spans="1:34" x14ac:dyDescent="0.25">
      <c r="B55" s="72">
        <f t="shared" si="38"/>
        <v>7.5999999999999998E-2</v>
      </c>
      <c r="C55" s="958">
        <v>0.18090000000000001</v>
      </c>
      <c r="D55" s="70"/>
      <c r="E55" s="76">
        <f t="shared" si="39"/>
        <v>1.9289999999999998</v>
      </c>
      <c r="F55" s="76">
        <f t="shared" si="31"/>
        <v>4.5949999999999998</v>
      </c>
      <c r="G55" s="66"/>
      <c r="H55" s="11">
        <v>4</v>
      </c>
      <c r="I55" s="592">
        <v>2</v>
      </c>
      <c r="J55" s="66"/>
      <c r="K55" s="492">
        <v>59</v>
      </c>
      <c r="L55" s="460">
        <v>70</v>
      </c>
      <c r="M55" s="481">
        <f>IF(L55=0,0,L55-K55)</f>
        <v>11</v>
      </c>
      <c r="N55" s="485">
        <f t="shared" si="32"/>
        <v>0.1864406779661017</v>
      </c>
      <c r="O55" s="464">
        <f t="shared" si="40"/>
        <v>56</v>
      </c>
      <c r="P55" s="464"/>
      <c r="Q55" s="212" t="str">
        <f t="shared" si="36"/>
        <v>.076"  to  .1809"</v>
      </c>
      <c r="R55" s="213" t="str">
        <f t="shared" si="33"/>
        <v>1.929  to  4.595mm</v>
      </c>
      <c r="S55" s="597">
        <f t="shared" si="37"/>
        <v>70</v>
      </c>
      <c r="U55" s="386">
        <v>12.25</v>
      </c>
      <c r="V55" s="752">
        <f t="shared" si="34"/>
        <v>56</v>
      </c>
      <c r="W55" s="752"/>
      <c r="X55" s="802">
        <f t="shared" si="35"/>
        <v>3.5714285714285712</v>
      </c>
    </row>
    <row r="56" spans="1:34" s="11" customFormat="1" x14ac:dyDescent="0.25">
      <c r="A56"/>
      <c r="B56" s="72">
        <f t="shared" si="38"/>
        <v>0.18099999999999999</v>
      </c>
      <c r="C56" s="958">
        <v>0.28189999999999998</v>
      </c>
      <c r="D56" s="70"/>
      <c r="E56" s="76">
        <f t="shared" si="39"/>
        <v>4.5960000000000001</v>
      </c>
      <c r="F56" s="76">
        <f t="shared" si="31"/>
        <v>7.16</v>
      </c>
      <c r="G56" s="66"/>
      <c r="H56" s="11">
        <v>5</v>
      </c>
      <c r="I56" s="592">
        <v>3</v>
      </c>
      <c r="J56" s="66"/>
      <c r="K56" s="492">
        <v>55.75</v>
      </c>
      <c r="L56" s="460">
        <v>72</v>
      </c>
      <c r="M56" s="481">
        <f t="shared" ref="M56:M61" si="41">IF(L56=0,0,L56-K56)</f>
        <v>16.25</v>
      </c>
      <c r="N56" s="485">
        <f t="shared" si="32"/>
        <v>0.2914798206278027</v>
      </c>
      <c r="O56" s="464">
        <f t="shared" si="40"/>
        <v>57.6</v>
      </c>
      <c r="P56" s="464"/>
      <c r="Q56" s="209" t="str">
        <f t="shared" si="36"/>
        <v>.181"  to  .2819"</v>
      </c>
      <c r="R56" s="210" t="str">
        <f t="shared" si="33"/>
        <v>4.596  to  7.160mm</v>
      </c>
      <c r="S56" s="161">
        <f t="shared" si="37"/>
        <v>72</v>
      </c>
      <c r="T56" s="56"/>
      <c r="U56" s="386">
        <v>12.25</v>
      </c>
      <c r="V56" s="752">
        <f t="shared" si="34"/>
        <v>57.6</v>
      </c>
      <c r="W56" s="752"/>
      <c r="X56" s="802">
        <f t="shared" si="35"/>
        <v>3.702040816326531</v>
      </c>
      <c r="AE56" s="71"/>
      <c r="AF56" s="71"/>
      <c r="AG56" s="56"/>
      <c r="AH56"/>
    </row>
    <row r="57" spans="1:34" s="11" customFormat="1" x14ac:dyDescent="0.25">
      <c r="A57"/>
      <c r="B57" s="72">
        <f>C56+$C$49</f>
        <v>0.28199999999999997</v>
      </c>
      <c r="C57" s="958">
        <v>0.40689999999999998</v>
      </c>
      <c r="D57" s="70"/>
      <c r="E57" s="76">
        <f t="shared" si="39"/>
        <v>7.1610000000000005</v>
      </c>
      <c r="F57" s="76">
        <f t="shared" si="31"/>
        <v>10.335000000000001</v>
      </c>
      <c r="G57" s="66"/>
      <c r="H57" s="11">
        <v>6</v>
      </c>
      <c r="I57" s="592">
        <v>4</v>
      </c>
      <c r="J57" s="66"/>
      <c r="K57" s="492">
        <v>56.75</v>
      </c>
      <c r="L57" s="460">
        <v>74</v>
      </c>
      <c r="M57" s="481">
        <f t="shared" si="41"/>
        <v>17.25</v>
      </c>
      <c r="N57" s="485">
        <f t="shared" si="32"/>
        <v>0.30396475770925108</v>
      </c>
      <c r="O57" s="464">
        <f t="shared" si="40"/>
        <v>59.2</v>
      </c>
      <c r="P57" s="464"/>
      <c r="Q57" s="212" t="str">
        <f t="shared" si="36"/>
        <v>.282"  to  .4069"</v>
      </c>
      <c r="R57" s="213" t="str">
        <f t="shared" si="33"/>
        <v>7.161  to  10.335mm</v>
      </c>
      <c r="S57" s="597">
        <f t="shared" si="37"/>
        <v>74</v>
      </c>
      <c r="T57" s="56"/>
      <c r="U57" s="386">
        <v>12.5</v>
      </c>
      <c r="V57" s="752">
        <f t="shared" si="34"/>
        <v>59.2</v>
      </c>
      <c r="W57" s="752"/>
      <c r="X57" s="802">
        <f t="shared" si="35"/>
        <v>3.7360000000000007</v>
      </c>
      <c r="AE57" s="71"/>
      <c r="AF57" s="71"/>
      <c r="AG57" s="56"/>
      <c r="AH57"/>
    </row>
    <row r="58" spans="1:34" s="11" customFormat="1" x14ac:dyDescent="0.25">
      <c r="A58"/>
      <c r="B58" s="72">
        <f t="shared" si="38"/>
        <v>0.40699999999999997</v>
      </c>
      <c r="C58" s="958">
        <v>0.51090000000000002</v>
      </c>
      <c r="D58" s="70"/>
      <c r="E58" s="76">
        <f t="shared" si="39"/>
        <v>10.336</v>
      </c>
      <c r="F58" s="76">
        <f t="shared" si="31"/>
        <v>12.977</v>
      </c>
      <c r="G58" s="66"/>
      <c r="H58" s="11">
        <v>7</v>
      </c>
      <c r="I58" s="592">
        <v>5</v>
      </c>
      <c r="J58" s="66"/>
      <c r="K58" s="492">
        <v>61</v>
      </c>
      <c r="L58" s="460">
        <v>76</v>
      </c>
      <c r="M58" s="481">
        <f t="shared" si="41"/>
        <v>15</v>
      </c>
      <c r="N58" s="485">
        <f t="shared" si="32"/>
        <v>0.24590163934426229</v>
      </c>
      <c r="O58" s="464">
        <f t="shared" si="40"/>
        <v>60.800000000000004</v>
      </c>
      <c r="P58" s="464"/>
      <c r="Q58" s="209" t="str">
        <f t="shared" si="36"/>
        <v>.407"  to  .5109"</v>
      </c>
      <c r="R58" s="210" t="str">
        <f t="shared" si="33"/>
        <v>10.336  to  12.977mm</v>
      </c>
      <c r="S58" s="161">
        <f t="shared" si="37"/>
        <v>76</v>
      </c>
      <c r="T58" s="56"/>
      <c r="U58" s="386">
        <v>13.25</v>
      </c>
      <c r="V58" s="752">
        <f t="shared" si="34"/>
        <v>60.800000000000004</v>
      </c>
      <c r="W58" s="752"/>
      <c r="X58" s="802">
        <f t="shared" si="35"/>
        <v>3.5886792452830196</v>
      </c>
      <c r="AE58" s="71"/>
      <c r="AF58" s="71"/>
      <c r="AG58" s="56"/>
      <c r="AH58"/>
    </row>
    <row r="59" spans="1:34" s="11" customFormat="1" x14ac:dyDescent="0.25">
      <c r="A59" s="50"/>
      <c r="B59" s="72">
        <f t="shared" si="38"/>
        <v>0.51100000000000001</v>
      </c>
      <c r="C59" s="958">
        <v>0.63590000000000002</v>
      </c>
      <c r="D59" s="70"/>
      <c r="E59" s="76">
        <f t="shared" si="39"/>
        <v>12.978</v>
      </c>
      <c r="F59" s="76">
        <f t="shared" si="31"/>
        <v>16.152000000000001</v>
      </c>
      <c r="G59" s="66"/>
      <c r="H59" s="11">
        <v>8</v>
      </c>
      <c r="I59" s="592">
        <v>6</v>
      </c>
      <c r="J59" s="66"/>
      <c r="K59" s="492">
        <v>63</v>
      </c>
      <c r="L59" s="460">
        <v>80</v>
      </c>
      <c r="M59" s="481">
        <f t="shared" si="41"/>
        <v>17</v>
      </c>
      <c r="N59" s="485">
        <f t="shared" si="32"/>
        <v>0.26984126984126983</v>
      </c>
      <c r="O59" s="464">
        <f t="shared" si="40"/>
        <v>64</v>
      </c>
      <c r="P59" s="464"/>
      <c r="Q59" s="212" t="str">
        <f t="shared" si="36"/>
        <v>.511"  to  .6359"</v>
      </c>
      <c r="R59" s="213" t="str">
        <f t="shared" si="33"/>
        <v>12.978  to  16.152mm</v>
      </c>
      <c r="S59" s="597">
        <f t="shared" si="37"/>
        <v>80</v>
      </c>
      <c r="T59" s="56"/>
      <c r="U59" s="386">
        <v>14.25</v>
      </c>
      <c r="V59" s="752">
        <f t="shared" si="34"/>
        <v>64</v>
      </c>
      <c r="W59" s="752"/>
      <c r="X59" s="802">
        <f t="shared" si="35"/>
        <v>3.4912280701754383</v>
      </c>
      <c r="AE59" s="71"/>
      <c r="AF59" s="71"/>
      <c r="AG59" s="56"/>
      <c r="AH59"/>
    </row>
    <row r="60" spans="1:34" s="11" customFormat="1" x14ac:dyDescent="0.25">
      <c r="A60" s="50"/>
      <c r="B60" s="72">
        <f t="shared" si="38"/>
        <v>0.63600000000000001</v>
      </c>
      <c r="C60" s="958">
        <v>0.76090000000000002</v>
      </c>
      <c r="D60" s="70"/>
      <c r="E60" s="76">
        <f t="shared" si="39"/>
        <v>16.153000000000002</v>
      </c>
      <c r="F60" s="76">
        <f t="shared" si="31"/>
        <v>19.327000000000002</v>
      </c>
      <c r="G60" s="66"/>
      <c r="H60" s="11">
        <v>9</v>
      </c>
      <c r="I60" s="592">
        <v>7</v>
      </c>
      <c r="J60" s="66"/>
      <c r="K60" s="492">
        <v>67.25</v>
      </c>
      <c r="L60" s="460">
        <v>88</v>
      </c>
      <c r="M60" s="481">
        <f t="shared" si="41"/>
        <v>20.75</v>
      </c>
      <c r="N60" s="485">
        <f t="shared" si="32"/>
        <v>0.30855018587360594</v>
      </c>
      <c r="O60" s="464">
        <f t="shared" si="40"/>
        <v>70.400000000000006</v>
      </c>
      <c r="P60" s="464"/>
      <c r="Q60" s="209" t="str">
        <f t="shared" si="36"/>
        <v>.636"  to  .7609"</v>
      </c>
      <c r="R60" s="210" t="str">
        <f t="shared" si="33"/>
        <v>16.153  to  19.327mm</v>
      </c>
      <c r="S60" s="161">
        <f t="shared" si="37"/>
        <v>88</v>
      </c>
      <c r="T60" s="56"/>
      <c r="U60" s="386">
        <v>18</v>
      </c>
      <c r="V60" s="752">
        <f t="shared" si="34"/>
        <v>70.400000000000006</v>
      </c>
      <c r="W60" s="752"/>
      <c r="X60" s="802">
        <f t="shared" si="35"/>
        <v>2.9111111111111114</v>
      </c>
      <c r="AE60" s="71"/>
      <c r="AF60" s="71"/>
      <c r="AG60" s="56"/>
      <c r="AH60"/>
    </row>
    <row r="61" spans="1:34" s="11" customFormat="1" ht="15.75" thickBot="1" x14ac:dyDescent="0.3">
      <c r="A61"/>
      <c r="B61" s="72">
        <f t="shared" si="38"/>
        <v>0.76100000000000001</v>
      </c>
      <c r="C61" s="959">
        <v>1.0149999999999999</v>
      </c>
      <c r="D61" s="70"/>
      <c r="E61" s="76">
        <f t="shared" ref="E61" si="42">F60+$F$49</f>
        <v>19.328000000000003</v>
      </c>
      <c r="F61" s="590">
        <v>25.65</v>
      </c>
      <c r="G61" s="66"/>
      <c r="H61" s="11">
        <v>10</v>
      </c>
      <c r="I61" s="592">
        <v>8</v>
      </c>
      <c r="J61" s="66"/>
      <c r="K61" s="492">
        <v>102</v>
      </c>
      <c r="L61" s="460">
        <v>100</v>
      </c>
      <c r="M61" s="481">
        <f t="shared" si="41"/>
        <v>-2</v>
      </c>
      <c r="N61" s="485">
        <f t="shared" si="32"/>
        <v>-1.9607843137254902E-2</v>
      </c>
      <c r="O61" s="464">
        <f t="shared" si="40"/>
        <v>80</v>
      </c>
      <c r="P61" s="464"/>
      <c r="Q61" s="953" t="str">
        <f t="shared" si="36"/>
        <v>.761"  to  1.015"</v>
      </c>
      <c r="R61" s="954" t="str">
        <f t="shared" si="33"/>
        <v>19.328  to  25.650mm</v>
      </c>
      <c r="S61" s="955">
        <f t="shared" si="37"/>
        <v>100</v>
      </c>
      <c r="T61" s="56"/>
      <c r="U61" s="386">
        <v>19.75</v>
      </c>
      <c r="V61" s="752">
        <f t="shared" si="34"/>
        <v>80</v>
      </c>
      <c r="W61" s="752"/>
      <c r="X61" s="802">
        <f t="shared" si="35"/>
        <v>3.0506329113924053</v>
      </c>
      <c r="AE61" s="71"/>
      <c r="AF61" s="71"/>
      <c r="AG61" s="56"/>
      <c r="AH61"/>
    </row>
    <row r="62" spans="1:34" s="11" customFormat="1" ht="4.1500000000000004" customHeight="1" x14ac:dyDescent="0.25">
      <c r="A62"/>
      <c r="B62" s="71"/>
      <c r="C62" s="71"/>
      <c r="D62" s="70"/>
      <c r="E62" s="71"/>
      <c r="F62" s="71"/>
      <c r="G62" s="57"/>
      <c r="H62" s="57"/>
      <c r="I62" s="71"/>
      <c r="J62" s="57"/>
      <c r="K62" s="57"/>
      <c r="L62" s="951"/>
      <c r="M62" s="57"/>
      <c r="N62" s="57"/>
      <c r="O62"/>
      <c r="P62"/>
      <c r="Q62" s="56"/>
      <c r="R62" s="56"/>
      <c r="S62" s="77"/>
      <c r="T62" s="56"/>
      <c r="AE62" s="71"/>
      <c r="AF62" s="71"/>
      <c r="AG62" s="56"/>
      <c r="AH62"/>
    </row>
    <row r="63" spans="1:34" s="11" customFormat="1" x14ac:dyDescent="0.25">
      <c r="A63"/>
      <c r="B63" s="56"/>
      <c r="C63" s="56"/>
      <c r="D63" s="57"/>
      <c r="E63" s="56"/>
      <c r="F63" s="56"/>
      <c r="G63" s="57"/>
      <c r="H63" s="57"/>
      <c r="I63" s="71"/>
      <c r="J63" s="57"/>
      <c r="K63" s="57"/>
      <c r="L63" s="57"/>
      <c r="M63" s="57"/>
      <c r="N63" s="57"/>
      <c r="O63"/>
      <c r="P63"/>
      <c r="Q63" t="s">
        <v>764</v>
      </c>
      <c r="R63" s="56"/>
      <c r="S63" s="77"/>
      <c r="T63" s="56"/>
      <c r="AE63" s="71"/>
      <c r="AF63" s="71"/>
      <c r="AG63" s="56"/>
      <c r="AH63"/>
    </row>
    <row r="64" spans="1:34" s="11" customFormat="1" x14ac:dyDescent="0.25">
      <c r="A64"/>
      <c r="B64" s="56"/>
      <c r="C64" s="56"/>
      <c r="D64" s="57"/>
      <c r="E64" s="56"/>
      <c r="F64" s="56"/>
      <c r="G64" s="57"/>
      <c r="H64" s="57"/>
      <c r="I64" s="71"/>
      <c r="J64" s="57"/>
      <c r="K64" s="57"/>
      <c r="L64" s="57"/>
      <c r="M64" s="57"/>
      <c r="N64" s="57"/>
      <c r="O64"/>
      <c r="P64"/>
      <c r="Q64" s="56"/>
      <c r="R64" s="56"/>
      <c r="S64" s="77"/>
      <c r="T64" s="56"/>
      <c r="AE64" s="71"/>
      <c r="AF64" s="71"/>
      <c r="AG64" s="56"/>
      <c r="AH64"/>
    </row>
    <row r="65" spans="1:34" s="11" customFormat="1" x14ac:dyDescent="0.25">
      <c r="A65"/>
      <c r="B65" s="56"/>
      <c r="C65" s="56"/>
      <c r="D65" s="57"/>
      <c r="E65" s="56"/>
      <c r="F65" s="56"/>
      <c r="G65" s="57"/>
      <c r="H65" s="57"/>
      <c r="I65" s="71"/>
      <c r="J65" s="57"/>
      <c r="K65" s="57"/>
      <c r="L65" s="460"/>
      <c r="M65" s="57"/>
      <c r="N65" s="57"/>
      <c r="O65"/>
      <c r="P65"/>
      <c r="Q65" s="628"/>
      <c r="R65" s="56"/>
      <c r="S65" s="77"/>
      <c r="T65" s="56"/>
      <c r="AE65" s="71"/>
      <c r="AF65" s="71"/>
      <c r="AG65" s="56"/>
      <c r="AH65"/>
    </row>
    <row r="66" spans="1:34" s="11" customFormat="1" x14ac:dyDescent="0.25">
      <c r="A66"/>
      <c r="B66" s="56"/>
      <c r="C66" s="56"/>
      <c r="D66" s="57"/>
      <c r="E66" s="56"/>
      <c r="F66" s="56"/>
      <c r="G66" s="57"/>
      <c r="H66" s="57"/>
      <c r="I66" s="71"/>
      <c r="J66" s="57"/>
      <c r="K66" s="629"/>
      <c r="L66" s="460"/>
      <c r="M66" s="57"/>
      <c r="N66" s="57"/>
      <c r="O66"/>
      <c r="P66"/>
      <c r="Q66" s="56"/>
      <c r="R66" s="56"/>
      <c r="S66" s="77"/>
      <c r="T66" s="56"/>
      <c r="AE66" s="71"/>
      <c r="AF66" s="71"/>
      <c r="AG66" s="56"/>
      <c r="AH66"/>
    </row>
    <row r="67" spans="1:34" s="11" customFormat="1" x14ac:dyDescent="0.25">
      <c r="A67"/>
      <c r="B67" s="56"/>
      <c r="C67" s="56"/>
      <c r="D67" s="57"/>
      <c r="E67" s="56"/>
      <c r="F67" s="56"/>
      <c r="G67" s="57"/>
      <c r="H67" s="57"/>
      <c r="I67" s="71"/>
      <c r="J67" s="57"/>
      <c r="K67" s="57"/>
      <c r="L67" s="460"/>
      <c r="M67" s="57"/>
      <c r="N67" s="57"/>
      <c r="O67"/>
      <c r="P67"/>
      <c r="Q67" s="56"/>
      <c r="R67" s="56"/>
      <c r="S67" s="56"/>
      <c r="T67" s="56"/>
      <c r="AE67" s="71"/>
      <c r="AF67" s="71"/>
      <c r="AG67" s="56"/>
      <c r="AH67"/>
    </row>
    <row r="68" spans="1:34" s="11" customFormat="1" x14ac:dyDescent="0.25">
      <c r="A68"/>
      <c r="B68" s="56"/>
      <c r="C68" s="56"/>
      <c r="D68" s="57"/>
      <c r="E68" s="56"/>
      <c r="F68" s="56"/>
      <c r="G68" s="57"/>
      <c r="H68" s="57"/>
      <c r="I68" s="71"/>
      <c r="J68" s="57"/>
      <c r="K68" s="57"/>
      <c r="L68" s="460"/>
      <c r="M68" s="57"/>
      <c r="N68" s="57"/>
      <c r="O68"/>
      <c r="P68"/>
      <c r="Q68" s="56"/>
      <c r="R68" s="56"/>
      <c r="S68" s="56"/>
      <c r="T68" s="56"/>
      <c r="AE68" s="71"/>
      <c r="AF68" s="71"/>
      <c r="AG68" s="56"/>
      <c r="AH68"/>
    </row>
    <row r="69" spans="1:34" s="11" customFormat="1" x14ac:dyDescent="0.25">
      <c r="A69"/>
      <c r="B69" s="56"/>
      <c r="C69" s="56"/>
      <c r="D69" s="57"/>
      <c r="E69" s="56"/>
      <c r="F69" s="56"/>
      <c r="G69" s="57"/>
      <c r="H69" s="57"/>
      <c r="I69" s="71"/>
      <c r="J69" s="57"/>
      <c r="K69" s="57"/>
      <c r="L69" s="460"/>
      <c r="M69" s="57"/>
      <c r="N69" s="57"/>
      <c r="O69"/>
      <c r="P69"/>
      <c r="Q69" s="56"/>
      <c r="R69" s="56"/>
      <c r="S69" s="56"/>
      <c r="T69" s="56"/>
      <c r="AE69" s="71"/>
      <c r="AF69" s="71"/>
      <c r="AG69" s="56"/>
      <c r="AH69"/>
    </row>
    <row r="70" spans="1:34" s="11" customFormat="1" x14ac:dyDescent="0.25">
      <c r="A70"/>
      <c r="B70" s="56"/>
      <c r="C70" s="56"/>
      <c r="D70" s="57"/>
      <c r="E70" s="56"/>
      <c r="F70" s="56"/>
      <c r="G70" s="57"/>
      <c r="H70" s="57"/>
      <c r="I70" s="71"/>
      <c r="J70" s="57"/>
      <c r="K70" s="57"/>
      <c r="L70" s="460"/>
      <c r="M70" s="57"/>
      <c r="N70" s="57"/>
      <c r="O70"/>
      <c r="P70"/>
      <c r="Q70" s="56"/>
      <c r="R70" s="56"/>
      <c r="S70" s="56"/>
      <c r="T70" s="56"/>
      <c r="AE70" s="71"/>
      <c r="AF70" s="71"/>
      <c r="AG70" s="56"/>
      <c r="AH70"/>
    </row>
    <row r="71" spans="1:34" s="11" customFormat="1" x14ac:dyDescent="0.25">
      <c r="A71"/>
      <c r="B71" s="56"/>
      <c r="C71" s="56"/>
      <c r="D71" s="57"/>
      <c r="E71" s="56"/>
      <c r="F71" s="56"/>
      <c r="G71" s="57"/>
      <c r="H71" s="57"/>
      <c r="I71" s="71"/>
      <c r="J71" s="57"/>
      <c r="K71" s="57"/>
      <c r="L71" s="460"/>
      <c r="M71" s="57"/>
      <c r="N71" s="57"/>
      <c r="O71"/>
      <c r="P71"/>
      <c r="Q71" s="56"/>
      <c r="R71" s="56"/>
      <c r="S71" s="56"/>
      <c r="T71" s="56"/>
      <c r="AE71" s="71"/>
      <c r="AF71" s="71"/>
      <c r="AG71" s="56"/>
      <c r="AH71"/>
    </row>
    <row r="72" spans="1:34" s="57" customFormat="1" x14ac:dyDescent="0.25">
      <c r="A72"/>
      <c r="B72" s="56"/>
      <c r="C72" s="56"/>
      <c r="E72" s="56"/>
      <c r="F72" s="56"/>
      <c r="I72" s="71"/>
      <c r="L72" s="460"/>
      <c r="O72"/>
      <c r="P72"/>
      <c r="Q72" s="56"/>
      <c r="R72" s="56"/>
      <c r="S72" s="56"/>
      <c r="T72" s="56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71"/>
      <c r="AF72" s="71"/>
      <c r="AG72" s="56"/>
      <c r="AH72"/>
    </row>
    <row r="73" spans="1:34" s="57" customFormat="1" x14ac:dyDescent="0.25">
      <c r="A73"/>
      <c r="B73" s="56"/>
      <c r="C73" s="56"/>
      <c r="E73" s="56"/>
      <c r="F73" s="56"/>
      <c r="I73" s="71"/>
      <c r="L73" s="460"/>
      <c r="O73"/>
      <c r="P73"/>
      <c r="Q73" s="56"/>
      <c r="R73" s="56"/>
      <c r="S73" s="56"/>
      <c r="T73" s="56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71"/>
      <c r="AF73" s="71"/>
      <c r="AG73" s="56"/>
      <c r="AH73"/>
    </row>
  </sheetData>
  <sheetProtection algorithmName="SHA-512" hashValue="k5xhrOQSDF5aQvx0HBSTaaURG9rbhZlaHLBHjSHYk1y/hHN6lsU/56hZzDQaK0X74cfWUIIxBOERkvYOEDb5qg==" saltValue="bR2qP9blUlo+2nzKS+RLxQ==" spinCount="100000" sheet="1" objects="1" scenarios="1"/>
  <mergeCells count="3">
    <mergeCell ref="S16:S17"/>
    <mergeCell ref="S33:S34"/>
    <mergeCell ref="S50:S51"/>
  </mergeCells>
  <pageMargins left="0.1" right="0.1" top="0.25" bottom="0.25" header="0.3" footer="0.3"/>
  <pageSetup scale="94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CD163-1A6C-4E2A-9A44-829195E8E910}">
  <sheetPr codeName="Sheet9">
    <outlinePr summaryBelow="0"/>
    <pageSetUpPr autoPageBreaks="0" fitToPage="1"/>
  </sheetPr>
  <dimension ref="A1:AK60"/>
  <sheetViews>
    <sheetView showGridLines="0" zoomScale="90" zoomScaleNormal="90" workbookViewId="0">
      <selection activeCell="Y66" sqref="Y66"/>
    </sheetView>
  </sheetViews>
  <sheetFormatPr defaultRowHeight="15" outlineLevelRow="1" outlineLevelCol="1" x14ac:dyDescent="0.25"/>
  <cols>
    <col min="1" max="1" width="1.7109375" customWidth="1"/>
    <col min="2" max="3" width="10.28515625" hidden="1" customWidth="1" outlineLevel="1"/>
    <col min="4" max="4" width="2.7109375" hidden="1" customWidth="1" outlineLevel="1"/>
    <col min="5" max="6" width="11.28515625" hidden="1" customWidth="1" outlineLevel="1"/>
    <col min="7" max="7" width="2.7109375" hidden="1" customWidth="1" outlineLevel="1"/>
    <col min="8" max="8" width="10.85546875" hidden="1" customWidth="1" outlineLevel="1"/>
    <col min="9" max="9" width="11.42578125" hidden="1" customWidth="1" outlineLevel="1" collapsed="1"/>
    <col min="10" max="10" width="12.140625" style="36" hidden="1" customWidth="1" outlineLevel="1"/>
    <col min="11" max="11" width="12.42578125" hidden="1" customWidth="1" outlineLevel="1"/>
    <col min="12" max="14" width="11.140625" hidden="1" customWidth="1" outlineLevel="1"/>
    <col min="15" max="15" width="2.7109375" hidden="1" customWidth="1" outlineLevel="1"/>
    <col min="16" max="16" width="10.42578125" style="35" hidden="1" customWidth="1" outlineLevel="1"/>
    <col min="17" max="17" width="11.140625" hidden="1" customWidth="1" outlineLevel="1"/>
    <col min="18" max="18" width="11.140625" style="36" hidden="1" customWidth="1" outlineLevel="1"/>
    <col min="19" max="22" width="11.140625" hidden="1" customWidth="1" outlineLevel="1"/>
    <col min="23" max="23" width="2.7109375" hidden="1" customWidth="1" outlineLevel="1"/>
    <col min="24" max="24" width="1.7109375" hidden="1" customWidth="1" outlineLevel="1"/>
    <col min="25" max="25" width="16.28515625" customWidth="1" collapsed="1"/>
    <col min="26" max="26" width="16.7109375" customWidth="1"/>
    <col min="27" max="27" width="21.28515625" customWidth="1"/>
    <col min="28" max="30" width="14.42578125" customWidth="1"/>
    <col min="32" max="32" width="16.28515625" customWidth="1"/>
    <col min="33" max="33" width="17.28515625" customWidth="1"/>
    <col min="34" max="34" width="25.28515625" customWidth="1"/>
    <col min="35" max="37" width="14.85546875" customWidth="1"/>
  </cols>
  <sheetData>
    <row r="1" spans="2:37" ht="8.1" customHeight="1" x14ac:dyDescent="0.25"/>
    <row r="2" spans="2:37" ht="21" collapsed="1" x14ac:dyDescent="0.35">
      <c r="Y2" s="1" t="s">
        <v>8</v>
      </c>
    </row>
    <row r="3" spans="2:37" hidden="1" outlineLevel="1" x14ac:dyDescent="0.25">
      <c r="B3" s="13"/>
      <c r="I3" s="743"/>
      <c r="J3" s="743"/>
      <c r="Y3" s="18"/>
    </row>
    <row r="4" spans="2:37" hidden="1" outlineLevel="1" x14ac:dyDescent="0.25">
      <c r="B4" s="743" t="s">
        <v>893</v>
      </c>
      <c r="C4" s="743" t="s">
        <v>894</v>
      </c>
      <c r="Y4" s="18"/>
    </row>
    <row r="5" spans="2:37" hidden="1" outlineLevel="1" x14ac:dyDescent="0.25">
      <c r="B5" s="2">
        <v>100</v>
      </c>
      <c r="C5" s="2" t="s">
        <v>789</v>
      </c>
      <c r="I5" s="39" t="s">
        <v>638</v>
      </c>
      <c r="Y5" s="18"/>
    </row>
    <row r="6" spans="2:37" hidden="1" outlineLevel="1" x14ac:dyDescent="0.25">
      <c r="B6" s="2">
        <v>130</v>
      </c>
      <c r="C6" s="2" t="s">
        <v>797</v>
      </c>
      <c r="I6" s="495" t="s">
        <v>640</v>
      </c>
      <c r="Y6" s="18"/>
    </row>
    <row r="7" spans="2:37" hidden="1" outlineLevel="1" x14ac:dyDescent="0.25">
      <c r="B7" s="13"/>
      <c r="I7" s="743"/>
      <c r="J7" s="743"/>
      <c r="Y7" s="18"/>
    </row>
    <row r="8" spans="2:37" hidden="1" outlineLevel="1" x14ac:dyDescent="0.25">
      <c r="B8" s="13"/>
      <c r="I8" s="13" t="s">
        <v>637</v>
      </c>
      <c r="J8" s="743"/>
      <c r="Y8" s="18"/>
    </row>
    <row r="9" spans="2:37" hidden="1" outlineLevel="1" x14ac:dyDescent="0.25">
      <c r="B9" s="13"/>
      <c r="J9" s="743"/>
      <c r="Y9" s="18"/>
    </row>
    <row r="10" spans="2:37" x14ac:dyDescent="0.25">
      <c r="B10" s="13"/>
      <c r="I10" s="743"/>
      <c r="J10" s="743"/>
      <c r="Y10" s="18"/>
    </row>
    <row r="11" spans="2:37" x14ac:dyDescent="0.25">
      <c r="R11" s="511" t="s">
        <v>648</v>
      </c>
      <c r="S11" s="515" t="s">
        <v>650</v>
      </c>
      <c r="Y11" s="511" t="str">
        <f>_xlfn.CONCAT($R$11,"  ",S11)</f>
        <v>•  Class Z (.0001" or .0025mm tolerance)</v>
      </c>
      <c r="AC11" s="513"/>
      <c r="AD11" s="513"/>
      <c r="AE11" s="80"/>
      <c r="AF11" s="513"/>
      <c r="AG11" s="511"/>
    </row>
    <row r="12" spans="2:37" x14ac:dyDescent="0.25">
      <c r="R12" s="513"/>
      <c r="S12" s="515" t="s">
        <v>641</v>
      </c>
      <c r="Y12" s="511" t="str">
        <f>_xlfn.CONCAT($R$11,"  ",S12)</f>
        <v>•  Go (Plus) or NoGo (Minus)</v>
      </c>
      <c r="AC12" s="513"/>
      <c r="AD12" s="513"/>
      <c r="AE12" s="80"/>
      <c r="AF12" s="513"/>
      <c r="AG12" s="511"/>
    </row>
    <row r="13" spans="2:37" x14ac:dyDescent="0.25">
      <c r="S13" s="515" t="s">
        <v>651</v>
      </c>
      <c r="Y13" s="511" t="str">
        <f>_xlfn.CONCAT($R$11,"  ",S13)</f>
        <v>•  .001" or .02mm increments</v>
      </c>
    </row>
    <row r="14" spans="2:37" ht="15.75" thickBot="1" x14ac:dyDescent="0.3">
      <c r="S14" s="515"/>
      <c r="Y14" s="511"/>
    </row>
    <row r="15" spans="2:37" x14ac:dyDescent="0.25">
      <c r="B15" s="22" t="s">
        <v>634</v>
      </c>
      <c r="C15" s="3"/>
      <c r="E15" s="22" t="s">
        <v>635</v>
      </c>
      <c r="F15" s="5"/>
      <c r="I15" s="5"/>
      <c r="J15" s="459"/>
      <c r="K15" s="488"/>
      <c r="L15" s="5"/>
      <c r="M15" s="5"/>
      <c r="O15" s="5"/>
      <c r="P15" s="581"/>
      <c r="Q15" s="5"/>
      <c r="R15" s="459"/>
      <c r="S15" s="488"/>
      <c r="T15" s="5"/>
      <c r="U15" s="5"/>
      <c r="Y15" s="767" t="s">
        <v>575</v>
      </c>
      <c r="Z15" s="770"/>
      <c r="AA15" s="770"/>
      <c r="AB15" s="770"/>
      <c r="AC15" s="770"/>
      <c r="AD15" s="771"/>
      <c r="AE15" s="146"/>
      <c r="AF15" s="770" t="s">
        <v>576</v>
      </c>
      <c r="AG15" s="770"/>
      <c r="AH15" s="770"/>
      <c r="AI15" s="770"/>
      <c r="AJ15" s="770"/>
      <c r="AK15" s="771"/>
    </row>
    <row r="16" spans="2:37" ht="30" x14ac:dyDescent="0.25">
      <c r="B16" s="397" t="s">
        <v>6</v>
      </c>
      <c r="C16" s="461"/>
      <c r="D16" s="146"/>
      <c r="E16" s="462" t="s">
        <v>7</v>
      </c>
      <c r="F16" s="20"/>
      <c r="G16" s="80"/>
      <c r="H16" s="80" t="s">
        <v>671</v>
      </c>
      <c r="I16" s="476" t="s">
        <v>9</v>
      </c>
      <c r="J16" s="477" t="s">
        <v>632</v>
      </c>
      <c r="K16" s="477" t="s">
        <v>633</v>
      </c>
      <c r="L16" s="478" t="s">
        <v>636</v>
      </c>
      <c r="M16" s="475"/>
      <c r="N16" s="479">
        <v>0.4</v>
      </c>
      <c r="O16" s="80"/>
      <c r="P16" s="146" t="s">
        <v>671</v>
      </c>
      <c r="Q16" s="476" t="s">
        <v>9</v>
      </c>
      <c r="R16" s="477" t="s">
        <v>632</v>
      </c>
      <c r="S16" s="477" t="s">
        <v>633</v>
      </c>
      <c r="T16" s="478" t="s">
        <v>636</v>
      </c>
      <c r="U16" s="475"/>
      <c r="V16" s="479">
        <v>0.4</v>
      </c>
      <c r="Y16" s="214" t="s">
        <v>9</v>
      </c>
      <c r="Z16" s="215" t="s">
        <v>10</v>
      </c>
      <c r="AA16" s="216" t="s">
        <v>3</v>
      </c>
      <c r="AB16" s="215" t="s">
        <v>11</v>
      </c>
      <c r="AC16" s="216" t="s">
        <v>12</v>
      </c>
      <c r="AD16" s="217" t="s">
        <v>573</v>
      </c>
      <c r="AE16" s="35"/>
      <c r="AF16" s="214" t="s">
        <v>9</v>
      </c>
      <c r="AG16" s="216" t="s">
        <v>10</v>
      </c>
      <c r="AH16" s="218" t="s">
        <v>3</v>
      </c>
      <c r="AI16" s="216" t="s">
        <v>11</v>
      </c>
      <c r="AJ16" s="216" t="s">
        <v>12</v>
      </c>
      <c r="AK16" s="219" t="s">
        <v>573</v>
      </c>
    </row>
    <row r="17" spans="2:37" x14ac:dyDescent="0.25">
      <c r="B17" s="465">
        <v>1.0999999999999999E-2</v>
      </c>
      <c r="C17" s="465">
        <v>0.06</v>
      </c>
      <c r="E17" s="466">
        <v>0.22</v>
      </c>
      <c r="F17" s="466">
        <v>1.5</v>
      </c>
      <c r="H17" s="522" t="str">
        <f>LEFT(Y17,FIND(RIGHT(I17,1),Y17)-1)</f>
        <v>M0</v>
      </c>
      <c r="I17" s="520" t="s">
        <v>13</v>
      </c>
      <c r="J17" s="491">
        <v>120</v>
      </c>
      <c r="K17" s="460">
        <v>150</v>
      </c>
      <c r="L17" s="480">
        <f>IF(K17=0,0,K17-J17)</f>
        <v>30</v>
      </c>
      <c r="M17" s="463">
        <f>L17/J17</f>
        <v>0.25</v>
      </c>
      <c r="N17" s="480">
        <f>(1-$N$16)*K17</f>
        <v>90</v>
      </c>
      <c r="O17" s="6"/>
      <c r="P17" s="522" t="str">
        <f>LEFT(Q17,LEN(Q17)-1)</f>
        <v>M0MM</v>
      </c>
      <c r="Q17" s="520" t="s">
        <v>15</v>
      </c>
      <c r="R17" s="491">
        <v>155</v>
      </c>
      <c r="S17" s="460">
        <v>190</v>
      </c>
      <c r="T17" s="480">
        <f>IF(S17=0,0,S17-R17)</f>
        <v>35</v>
      </c>
      <c r="U17" s="484">
        <f>T17/R17</f>
        <v>0.22580645161290322</v>
      </c>
      <c r="V17" s="464">
        <f>(1-$V$16)*S17</f>
        <v>114</v>
      </c>
      <c r="Y17" s="198" t="s">
        <v>13</v>
      </c>
      <c r="Z17" s="220" t="s">
        <v>14</v>
      </c>
      <c r="AA17" s="221" t="str">
        <f>_xlfn.CONCAT(TEXT($B17,"#.000#"),"""","  to  ",TEXT($C17,"#.000#"),"""")</f>
        <v>.011"  to  .060"</v>
      </c>
      <c r="AB17" s="220">
        <v>50</v>
      </c>
      <c r="AC17" s="222">
        <v>1</v>
      </c>
      <c r="AD17" s="223">
        <f>$K17</f>
        <v>150</v>
      </c>
      <c r="AE17" s="35"/>
      <c r="AF17" s="198" t="s">
        <v>15</v>
      </c>
      <c r="AG17" s="221" t="s">
        <v>14</v>
      </c>
      <c r="AH17" s="949" t="str">
        <f>_xlfn.CONCAT(TEXT($E17,"#.00"),"mm","  to  ",TEXT($F17,"#.00"),"mm")</f>
        <v>.22mm  to  1.50mm</v>
      </c>
      <c r="AI17" s="221">
        <v>65</v>
      </c>
      <c r="AJ17" s="222">
        <v>1</v>
      </c>
      <c r="AK17" s="223">
        <f>$S17</f>
        <v>190</v>
      </c>
    </row>
    <row r="18" spans="2:37" x14ac:dyDescent="0.25">
      <c r="B18" s="465">
        <v>1.0999999999999999E-2</v>
      </c>
      <c r="C18" s="465">
        <v>0.06</v>
      </c>
      <c r="E18" s="466">
        <v>0.22</v>
      </c>
      <c r="F18" s="466">
        <v>1.5</v>
      </c>
      <c r="H18" s="522" t="str">
        <f>LEFT(Y18,FIND(RIGHT(I18,1),Y18)-1)</f>
        <v/>
      </c>
      <c r="I18" s="520" t="s">
        <v>16</v>
      </c>
      <c r="J18" s="492">
        <v>120</v>
      </c>
      <c r="K18" s="460">
        <v>150</v>
      </c>
      <c r="L18" s="481">
        <f t="shared" ref="L18:L52" si="0">IF(K18=0,0,K18-J18)</f>
        <v>30</v>
      </c>
      <c r="M18" s="463">
        <f t="shared" ref="M18:M52" si="1">L18/J18</f>
        <v>0.25</v>
      </c>
      <c r="N18" s="481">
        <f>(1-$N$16)*K18</f>
        <v>90</v>
      </c>
      <c r="O18" s="6"/>
      <c r="P18" s="522"/>
      <c r="Q18" s="520" t="s">
        <v>18</v>
      </c>
      <c r="R18" s="492">
        <v>155</v>
      </c>
      <c r="S18" s="460">
        <v>190</v>
      </c>
      <c r="T18" s="481">
        <f t="shared" ref="T18:T52" si="2">IF(S18=0,0,S18-R18)</f>
        <v>35</v>
      </c>
      <c r="U18" s="485">
        <f t="shared" ref="U18:U52" si="3">T18/R18</f>
        <v>0.22580645161290322</v>
      </c>
      <c r="V18" s="464">
        <f t="shared" ref="V18:V52" si="4">(1-$V$16)*S18</f>
        <v>114</v>
      </c>
      <c r="Y18" s="198" t="s">
        <v>16</v>
      </c>
      <c r="Z18" s="220" t="s">
        <v>17</v>
      </c>
      <c r="AA18" s="221" t="str">
        <f t="shared" ref="AA18:AA52" si="5">_xlfn.CONCAT(TEXT($B18,"#.000#"),"""","  to  ",TEXT($C18,"#.000#"),"""")</f>
        <v>.011"  to  .060"</v>
      </c>
      <c r="AB18" s="220">
        <v>50</v>
      </c>
      <c r="AC18" s="222">
        <v>1</v>
      </c>
      <c r="AD18" s="224">
        <f t="shared" ref="AD18:AD52" si="6">$K18</f>
        <v>150</v>
      </c>
      <c r="AE18" s="35"/>
      <c r="AF18" s="198" t="s">
        <v>18</v>
      </c>
      <c r="AG18" s="221" t="s">
        <v>17</v>
      </c>
      <c r="AH18" s="221" t="str">
        <f t="shared" ref="AH18:AH52" si="7">_xlfn.CONCAT(TEXT($E18,"#.00"),"mm","  to  ",TEXT($F18,"#.00"),"mm")</f>
        <v>.22mm  to  1.50mm</v>
      </c>
      <c r="AI18" s="221">
        <v>65</v>
      </c>
      <c r="AJ18" s="222">
        <v>1</v>
      </c>
      <c r="AK18" s="224">
        <f t="shared" ref="AK18:AK52" si="8">$S18</f>
        <v>190</v>
      </c>
    </row>
    <row r="19" spans="2:37" x14ac:dyDescent="0.25">
      <c r="B19" s="465">
        <v>1.15E-2</v>
      </c>
      <c r="C19" s="465">
        <v>6.0499999999999998E-2</v>
      </c>
      <c r="E19" s="466">
        <v>0.23</v>
      </c>
      <c r="F19" s="466">
        <v>1.51</v>
      </c>
      <c r="H19" s="522" t="str">
        <f>LEFT(Y19,FIND(RIGHT(I19,1),Y19)-1)</f>
        <v>M05</v>
      </c>
      <c r="I19" s="467" t="s">
        <v>19</v>
      </c>
      <c r="J19" s="493">
        <v>130</v>
      </c>
      <c r="K19" s="468">
        <v>160</v>
      </c>
      <c r="L19" s="482">
        <f t="shared" si="0"/>
        <v>30</v>
      </c>
      <c r="M19" s="470">
        <f t="shared" si="1"/>
        <v>0.23076923076923078</v>
      </c>
      <c r="N19" s="482">
        <f t="shared" ref="N19:N52" si="9">(1-$N$16)*K19</f>
        <v>96</v>
      </c>
      <c r="O19" s="6"/>
      <c r="P19" s="522" t="str">
        <f>LEFT(Q19,LEN(Q19)-1)</f>
        <v>M01MM</v>
      </c>
      <c r="Q19" s="467" t="s">
        <v>20</v>
      </c>
      <c r="R19" s="493">
        <v>165</v>
      </c>
      <c r="S19" s="468">
        <v>200</v>
      </c>
      <c r="T19" s="482">
        <f t="shared" si="2"/>
        <v>35</v>
      </c>
      <c r="U19" s="486">
        <f t="shared" si="3"/>
        <v>0.21212121212121213</v>
      </c>
      <c r="V19" s="469">
        <f t="shared" si="4"/>
        <v>120</v>
      </c>
      <c r="Y19" s="497" t="s">
        <v>19</v>
      </c>
      <c r="Z19" s="498" t="s">
        <v>14</v>
      </c>
      <c r="AA19" s="498" t="str">
        <f t="shared" si="5"/>
        <v>.0115"  to  .0605"</v>
      </c>
      <c r="AB19" s="498">
        <v>50</v>
      </c>
      <c r="AC19" s="227">
        <v>1</v>
      </c>
      <c r="AD19" s="501">
        <f t="shared" si="6"/>
        <v>160</v>
      </c>
      <c r="AE19" s="35"/>
      <c r="AF19" s="497" t="s">
        <v>20</v>
      </c>
      <c r="AG19" s="498" t="s">
        <v>14</v>
      </c>
      <c r="AH19" s="498" t="str">
        <f t="shared" si="7"/>
        <v>.23mm  to  1.51mm</v>
      </c>
      <c r="AI19" s="498">
        <v>65</v>
      </c>
      <c r="AJ19" s="227">
        <v>1</v>
      </c>
      <c r="AK19" s="501">
        <f t="shared" si="8"/>
        <v>200</v>
      </c>
    </row>
    <row r="20" spans="2:37" x14ac:dyDescent="0.25">
      <c r="B20" s="465">
        <v>1.15E-2</v>
      </c>
      <c r="C20" s="465">
        <v>6.0499999999999998E-2</v>
      </c>
      <c r="E20" s="466">
        <v>0.23</v>
      </c>
      <c r="F20" s="466">
        <v>1.51</v>
      </c>
      <c r="H20" s="522" t="str">
        <f>LEFT(Y20,FIND(RIGHT(I20,1),Y20)-1)</f>
        <v/>
      </c>
      <c r="I20" s="471" t="s">
        <v>21</v>
      </c>
      <c r="J20" s="494">
        <v>130</v>
      </c>
      <c r="K20" s="472">
        <v>160</v>
      </c>
      <c r="L20" s="483">
        <f t="shared" si="0"/>
        <v>30</v>
      </c>
      <c r="M20" s="474">
        <f t="shared" si="1"/>
        <v>0.23076923076923078</v>
      </c>
      <c r="N20" s="483">
        <f t="shared" si="9"/>
        <v>96</v>
      </c>
      <c r="O20" s="6"/>
      <c r="P20" s="522"/>
      <c r="Q20" s="471" t="s">
        <v>22</v>
      </c>
      <c r="R20" s="494">
        <v>165</v>
      </c>
      <c r="S20" s="472">
        <v>200</v>
      </c>
      <c r="T20" s="483">
        <f t="shared" si="2"/>
        <v>35</v>
      </c>
      <c r="U20" s="487">
        <f t="shared" si="3"/>
        <v>0.21212121212121213</v>
      </c>
      <c r="V20" s="473">
        <f t="shared" si="4"/>
        <v>120</v>
      </c>
      <c r="Y20" s="229" t="s">
        <v>21</v>
      </c>
      <c r="Z20" s="230" t="s">
        <v>17</v>
      </c>
      <c r="AA20" s="231" t="str">
        <f t="shared" si="5"/>
        <v>.0115"  to  .0605"</v>
      </c>
      <c r="AB20" s="230">
        <v>50</v>
      </c>
      <c r="AC20" s="232">
        <v>1</v>
      </c>
      <c r="AD20" s="233">
        <f t="shared" si="6"/>
        <v>160</v>
      </c>
      <c r="AE20" s="35"/>
      <c r="AF20" s="229" t="s">
        <v>22</v>
      </c>
      <c r="AG20" s="231" t="s">
        <v>17</v>
      </c>
      <c r="AH20" s="231" t="str">
        <f t="shared" si="7"/>
        <v>.23mm  to  1.51mm</v>
      </c>
      <c r="AI20" s="231">
        <v>65</v>
      </c>
      <c r="AJ20" s="232">
        <v>1</v>
      </c>
      <c r="AK20" s="233">
        <f t="shared" si="8"/>
        <v>200</v>
      </c>
    </row>
    <row r="21" spans="2:37" x14ac:dyDescent="0.25">
      <c r="B21" s="465">
        <v>1.0999999999999999E-2</v>
      </c>
      <c r="C21" s="465">
        <v>0.25</v>
      </c>
      <c r="E21" s="466">
        <v>1.52</v>
      </c>
      <c r="F21" s="466">
        <v>7.7</v>
      </c>
      <c r="H21" s="522" t="str">
        <f>LEFT(Y21,FIND(RIGHT(I21,1),Y21)-1)</f>
        <v>C10</v>
      </c>
      <c r="I21" s="520" t="s">
        <v>23</v>
      </c>
      <c r="J21" s="492">
        <v>370</v>
      </c>
      <c r="K21" s="460">
        <v>460</v>
      </c>
      <c r="L21" s="481">
        <f t="shared" si="0"/>
        <v>90</v>
      </c>
      <c r="M21" s="463">
        <f t="shared" si="1"/>
        <v>0.24324324324324326</v>
      </c>
      <c r="N21" s="481">
        <f t="shared" si="9"/>
        <v>276</v>
      </c>
      <c r="O21" s="6"/>
      <c r="P21" s="522" t="str">
        <f>LEFT(Q21,LEN(Q21)-1)</f>
        <v>M1MM</v>
      </c>
      <c r="Q21" s="520" t="s">
        <v>24</v>
      </c>
      <c r="R21" s="492">
        <v>550</v>
      </c>
      <c r="S21" s="460">
        <v>670</v>
      </c>
      <c r="T21" s="481">
        <f t="shared" si="2"/>
        <v>120</v>
      </c>
      <c r="U21" s="485">
        <f t="shared" si="3"/>
        <v>0.21818181818181817</v>
      </c>
      <c r="V21" s="464">
        <f t="shared" si="4"/>
        <v>402</v>
      </c>
      <c r="Y21" s="198" t="s">
        <v>23</v>
      </c>
      <c r="Z21" s="220" t="s">
        <v>14</v>
      </c>
      <c r="AA21" s="221" t="str">
        <f t="shared" si="5"/>
        <v>.011"  to  .250"</v>
      </c>
      <c r="AB21" s="220">
        <v>240</v>
      </c>
      <c r="AC21" s="222">
        <v>7</v>
      </c>
      <c r="AD21" s="224">
        <f t="shared" si="6"/>
        <v>460</v>
      </c>
      <c r="AE21" s="35"/>
      <c r="AF21" s="198" t="s">
        <v>24</v>
      </c>
      <c r="AG21" s="221" t="s">
        <v>14</v>
      </c>
      <c r="AH21" s="221" t="str">
        <f t="shared" si="7"/>
        <v>1.52mm  to  7.70mm</v>
      </c>
      <c r="AI21" s="221">
        <v>310</v>
      </c>
      <c r="AJ21" s="222">
        <v>10</v>
      </c>
      <c r="AK21" s="224">
        <f t="shared" si="8"/>
        <v>670</v>
      </c>
    </row>
    <row r="22" spans="2:37" x14ac:dyDescent="0.25">
      <c r="B22" s="465">
        <v>1.0999999999999999E-2</v>
      </c>
      <c r="C22" s="465">
        <v>0.25</v>
      </c>
      <c r="E22" s="466">
        <v>1.52</v>
      </c>
      <c r="F22" s="466">
        <v>7.7</v>
      </c>
      <c r="H22" s="522"/>
      <c r="I22" s="520" t="s">
        <v>25</v>
      </c>
      <c r="J22" s="492">
        <v>370</v>
      </c>
      <c r="K22" s="460">
        <v>460</v>
      </c>
      <c r="L22" s="481">
        <f t="shared" si="0"/>
        <v>90</v>
      </c>
      <c r="M22" s="463">
        <f t="shared" si="1"/>
        <v>0.24324324324324326</v>
      </c>
      <c r="N22" s="481">
        <f t="shared" si="9"/>
        <v>276</v>
      </c>
      <c r="O22" s="6"/>
      <c r="P22" s="522"/>
      <c r="Q22" s="6" t="s">
        <v>26</v>
      </c>
      <c r="R22" s="492">
        <v>550</v>
      </c>
      <c r="S22" s="460">
        <v>670</v>
      </c>
      <c r="T22" s="481">
        <f t="shared" si="2"/>
        <v>120</v>
      </c>
      <c r="U22" s="485">
        <f t="shared" si="3"/>
        <v>0.21818181818181817</v>
      </c>
      <c r="V22" s="464">
        <f t="shared" si="4"/>
        <v>402</v>
      </c>
      <c r="Y22" s="198" t="s">
        <v>25</v>
      </c>
      <c r="Z22" s="220" t="s">
        <v>17</v>
      </c>
      <c r="AA22" s="221" t="str">
        <f t="shared" si="5"/>
        <v>.011"  to  .250"</v>
      </c>
      <c r="AB22" s="220">
        <v>240</v>
      </c>
      <c r="AC22" s="222">
        <v>7</v>
      </c>
      <c r="AD22" s="224">
        <f t="shared" si="6"/>
        <v>460</v>
      </c>
      <c r="AE22" s="35"/>
      <c r="AF22" s="198" t="s">
        <v>26</v>
      </c>
      <c r="AG22" s="221" t="s">
        <v>17</v>
      </c>
      <c r="AH22" s="221" t="str">
        <f t="shared" si="7"/>
        <v>1.52mm  to  7.70mm</v>
      </c>
      <c r="AI22" s="221">
        <v>310</v>
      </c>
      <c r="AJ22" s="222">
        <v>10</v>
      </c>
      <c r="AK22" s="224">
        <f t="shared" si="8"/>
        <v>670</v>
      </c>
    </row>
    <row r="23" spans="2:37" x14ac:dyDescent="0.25">
      <c r="B23" s="465">
        <v>1.15E-2</v>
      </c>
      <c r="C23" s="465">
        <v>0.2505</v>
      </c>
      <c r="E23" s="466">
        <v>1.53</v>
      </c>
      <c r="F23" s="466">
        <v>7.71</v>
      </c>
      <c r="H23" s="522" t="str">
        <f>LEFT(Y23,FIND(RIGHT(I23,1),Y23)-1)</f>
        <v>C105</v>
      </c>
      <c r="I23" s="467" t="s">
        <v>27</v>
      </c>
      <c r="J23" s="493">
        <v>375</v>
      </c>
      <c r="K23" s="468">
        <v>470</v>
      </c>
      <c r="L23" s="482">
        <f t="shared" si="0"/>
        <v>95</v>
      </c>
      <c r="M23" s="470">
        <f t="shared" si="1"/>
        <v>0.25333333333333335</v>
      </c>
      <c r="N23" s="482">
        <f t="shared" si="9"/>
        <v>282</v>
      </c>
      <c r="O23" s="6"/>
      <c r="P23" s="522" t="str">
        <f>LEFT(Q23,LEN(Q23)-1)</f>
        <v>M11MM</v>
      </c>
      <c r="Q23" s="467" t="s">
        <v>28</v>
      </c>
      <c r="R23" s="493">
        <v>555</v>
      </c>
      <c r="S23" s="468">
        <v>680</v>
      </c>
      <c r="T23" s="482">
        <f t="shared" si="2"/>
        <v>125</v>
      </c>
      <c r="U23" s="486">
        <f t="shared" si="3"/>
        <v>0.22522522522522523</v>
      </c>
      <c r="V23" s="469">
        <f t="shared" si="4"/>
        <v>408</v>
      </c>
      <c r="Y23" s="497" t="s">
        <v>27</v>
      </c>
      <c r="Z23" s="498" t="s">
        <v>14</v>
      </c>
      <c r="AA23" s="498" t="str">
        <f t="shared" si="5"/>
        <v>.0115"  to  .2505"</v>
      </c>
      <c r="AB23" s="498">
        <v>240</v>
      </c>
      <c r="AC23" s="227">
        <v>7</v>
      </c>
      <c r="AD23" s="501">
        <f t="shared" si="6"/>
        <v>470</v>
      </c>
      <c r="AE23" s="35"/>
      <c r="AF23" s="497" t="s">
        <v>28</v>
      </c>
      <c r="AG23" s="498" t="s">
        <v>14</v>
      </c>
      <c r="AH23" s="498" t="str">
        <f t="shared" si="7"/>
        <v>1.53mm  to  7.71mm</v>
      </c>
      <c r="AI23" s="498">
        <v>310</v>
      </c>
      <c r="AJ23" s="227">
        <v>10</v>
      </c>
      <c r="AK23" s="501">
        <f t="shared" si="8"/>
        <v>680</v>
      </c>
    </row>
    <row r="24" spans="2:37" x14ac:dyDescent="0.25">
      <c r="B24" s="465">
        <v>1.15E-2</v>
      </c>
      <c r="C24" s="465">
        <v>0.2505</v>
      </c>
      <c r="E24" s="466">
        <v>1.53</v>
      </c>
      <c r="F24" s="466">
        <v>7.71</v>
      </c>
      <c r="H24" s="522"/>
      <c r="I24" s="471" t="s">
        <v>29</v>
      </c>
      <c r="J24" s="494">
        <v>375</v>
      </c>
      <c r="K24" s="472">
        <v>470</v>
      </c>
      <c r="L24" s="483">
        <f t="shared" si="0"/>
        <v>95</v>
      </c>
      <c r="M24" s="474">
        <f t="shared" si="1"/>
        <v>0.25333333333333335</v>
      </c>
      <c r="N24" s="483">
        <f t="shared" si="9"/>
        <v>282</v>
      </c>
      <c r="O24" s="6"/>
      <c r="P24" s="522"/>
      <c r="Q24" s="471" t="s">
        <v>30</v>
      </c>
      <c r="R24" s="494">
        <v>555</v>
      </c>
      <c r="S24" s="472">
        <v>680</v>
      </c>
      <c r="T24" s="483">
        <f t="shared" si="2"/>
        <v>125</v>
      </c>
      <c r="U24" s="487">
        <f t="shared" si="3"/>
        <v>0.22522522522522523</v>
      </c>
      <c r="V24" s="473">
        <f t="shared" si="4"/>
        <v>408</v>
      </c>
      <c r="Y24" s="229" t="s">
        <v>29</v>
      </c>
      <c r="Z24" s="230" t="s">
        <v>17</v>
      </c>
      <c r="AA24" s="231" t="str">
        <f t="shared" si="5"/>
        <v>.0115"  to  .2505"</v>
      </c>
      <c r="AB24" s="230">
        <v>240</v>
      </c>
      <c r="AC24" s="232">
        <v>7</v>
      </c>
      <c r="AD24" s="233">
        <f t="shared" si="6"/>
        <v>470</v>
      </c>
      <c r="AE24" s="35"/>
      <c r="AF24" s="229" t="s">
        <v>30</v>
      </c>
      <c r="AG24" s="231" t="s">
        <v>17</v>
      </c>
      <c r="AH24" s="231" t="str">
        <f t="shared" si="7"/>
        <v>1.53mm  to  7.71mm</v>
      </c>
      <c r="AI24" s="231">
        <v>310</v>
      </c>
      <c r="AJ24" s="232">
        <v>10</v>
      </c>
      <c r="AK24" s="233">
        <f t="shared" si="8"/>
        <v>680</v>
      </c>
    </row>
    <row r="25" spans="2:37" x14ac:dyDescent="0.25">
      <c r="B25" s="465">
        <v>6.0999999999999999E-2</v>
      </c>
      <c r="C25" s="465">
        <v>0.25</v>
      </c>
      <c r="E25" s="466">
        <v>7.72</v>
      </c>
      <c r="F25" s="466">
        <v>12.7</v>
      </c>
      <c r="H25" s="522" t="str">
        <f t="shared" ref="H25:H52" si="10">LEFT(Y25,FIND(RIGHT(I25,1),Y25)-1)</f>
        <v>M1</v>
      </c>
      <c r="I25" s="520" t="s">
        <v>31</v>
      </c>
      <c r="J25" s="492">
        <v>270</v>
      </c>
      <c r="K25" s="460">
        <v>330</v>
      </c>
      <c r="L25" s="481">
        <f t="shared" si="0"/>
        <v>60</v>
      </c>
      <c r="M25" s="463">
        <f t="shared" si="1"/>
        <v>0.22222222222222221</v>
      </c>
      <c r="N25" s="481">
        <f t="shared" si="9"/>
        <v>198</v>
      </c>
      <c r="O25" s="6"/>
      <c r="P25" s="522" t="str">
        <f>LEFT(Q25,LEN(Q25)-1)</f>
        <v>M2MM</v>
      </c>
      <c r="Q25" s="6" t="s">
        <v>32</v>
      </c>
      <c r="R25" s="492">
        <v>590</v>
      </c>
      <c r="S25" s="460">
        <v>710</v>
      </c>
      <c r="T25" s="481">
        <f t="shared" si="2"/>
        <v>120</v>
      </c>
      <c r="U25" s="485">
        <f t="shared" si="3"/>
        <v>0.20338983050847459</v>
      </c>
      <c r="V25" s="464">
        <f t="shared" si="4"/>
        <v>426</v>
      </c>
      <c r="Y25" s="198" t="s">
        <v>31</v>
      </c>
      <c r="Z25" s="220" t="s">
        <v>14</v>
      </c>
      <c r="AA25" s="221" t="str">
        <f t="shared" si="5"/>
        <v>.061"  to  .250"</v>
      </c>
      <c r="AB25" s="220">
        <v>190</v>
      </c>
      <c r="AC25" s="222">
        <v>7</v>
      </c>
      <c r="AD25" s="224">
        <f t="shared" si="6"/>
        <v>330</v>
      </c>
      <c r="AE25" s="35"/>
      <c r="AF25" s="198" t="s">
        <v>32</v>
      </c>
      <c r="AG25" s="221" t="s">
        <v>14</v>
      </c>
      <c r="AH25" s="221" t="str">
        <f t="shared" si="7"/>
        <v>7.72mm  to  12.70mm</v>
      </c>
      <c r="AI25" s="221">
        <v>250</v>
      </c>
      <c r="AJ25" s="222">
        <v>25</v>
      </c>
      <c r="AK25" s="224">
        <f t="shared" si="8"/>
        <v>710</v>
      </c>
    </row>
    <row r="26" spans="2:37" x14ac:dyDescent="0.25">
      <c r="B26" s="465">
        <v>6.0999999999999999E-2</v>
      </c>
      <c r="C26" s="465">
        <v>0.25</v>
      </c>
      <c r="E26" s="466">
        <v>7.72</v>
      </c>
      <c r="F26" s="466">
        <v>12.7</v>
      </c>
      <c r="H26" s="522" t="str">
        <f t="shared" si="10"/>
        <v/>
      </c>
      <c r="I26" s="520" t="s">
        <v>33</v>
      </c>
      <c r="J26" s="492">
        <v>270</v>
      </c>
      <c r="K26" s="460">
        <v>330</v>
      </c>
      <c r="L26" s="481">
        <f t="shared" si="0"/>
        <v>60</v>
      </c>
      <c r="M26" s="463">
        <f t="shared" si="1"/>
        <v>0.22222222222222221</v>
      </c>
      <c r="N26" s="481">
        <f t="shared" si="9"/>
        <v>198</v>
      </c>
      <c r="O26" s="6"/>
      <c r="P26" s="522"/>
      <c r="Q26" s="6" t="s">
        <v>34</v>
      </c>
      <c r="R26" s="492">
        <v>590</v>
      </c>
      <c r="S26" s="460">
        <v>710</v>
      </c>
      <c r="T26" s="481">
        <f t="shared" si="2"/>
        <v>120</v>
      </c>
      <c r="U26" s="485">
        <f t="shared" si="3"/>
        <v>0.20338983050847459</v>
      </c>
      <c r="V26" s="464">
        <f t="shared" si="4"/>
        <v>426</v>
      </c>
      <c r="Y26" s="198" t="s">
        <v>33</v>
      </c>
      <c r="Z26" s="220" t="s">
        <v>17</v>
      </c>
      <c r="AA26" s="221" t="str">
        <f t="shared" si="5"/>
        <v>.061"  to  .250"</v>
      </c>
      <c r="AB26" s="220">
        <v>190</v>
      </c>
      <c r="AC26" s="222">
        <v>7</v>
      </c>
      <c r="AD26" s="224">
        <f t="shared" si="6"/>
        <v>330</v>
      </c>
      <c r="AE26" s="35"/>
      <c r="AF26" s="198" t="s">
        <v>34</v>
      </c>
      <c r="AG26" s="221" t="s">
        <v>17</v>
      </c>
      <c r="AH26" s="221" t="str">
        <f t="shared" si="7"/>
        <v>7.72mm  to  12.70mm</v>
      </c>
      <c r="AI26" s="221">
        <v>250</v>
      </c>
      <c r="AJ26" s="222">
        <v>25</v>
      </c>
      <c r="AK26" s="224">
        <f t="shared" si="8"/>
        <v>710</v>
      </c>
    </row>
    <row r="27" spans="2:37" x14ac:dyDescent="0.25">
      <c r="B27" s="465">
        <v>6.1499999999999999E-2</v>
      </c>
      <c r="C27" s="465">
        <v>0.2505</v>
      </c>
      <c r="E27" s="466">
        <v>7.73</v>
      </c>
      <c r="F27" s="466">
        <v>12.71</v>
      </c>
      <c r="H27" s="522" t="str">
        <f t="shared" si="10"/>
        <v>M15</v>
      </c>
      <c r="I27" s="467" t="s">
        <v>35</v>
      </c>
      <c r="J27" s="493">
        <v>275</v>
      </c>
      <c r="K27" s="468">
        <v>340</v>
      </c>
      <c r="L27" s="482">
        <f t="shared" si="0"/>
        <v>65</v>
      </c>
      <c r="M27" s="470">
        <f t="shared" si="1"/>
        <v>0.23636363636363636</v>
      </c>
      <c r="N27" s="482">
        <f t="shared" si="9"/>
        <v>204</v>
      </c>
      <c r="O27" s="6"/>
      <c r="P27" s="522" t="str">
        <f>LEFT(Q27,LEN(Q27)-1)</f>
        <v>M21MM</v>
      </c>
      <c r="Q27" s="467" t="s">
        <v>36</v>
      </c>
      <c r="R27" s="493">
        <v>595</v>
      </c>
      <c r="S27" s="468">
        <v>720</v>
      </c>
      <c r="T27" s="482">
        <f t="shared" si="2"/>
        <v>125</v>
      </c>
      <c r="U27" s="486">
        <f t="shared" si="3"/>
        <v>0.21008403361344538</v>
      </c>
      <c r="V27" s="469">
        <f t="shared" si="4"/>
        <v>432</v>
      </c>
      <c r="Y27" s="497" t="s">
        <v>35</v>
      </c>
      <c r="Z27" s="498" t="s">
        <v>14</v>
      </c>
      <c r="AA27" s="498" t="str">
        <f t="shared" si="5"/>
        <v>.0615"  to  .2505"</v>
      </c>
      <c r="AB27" s="498">
        <v>190</v>
      </c>
      <c r="AC27" s="227">
        <v>7</v>
      </c>
      <c r="AD27" s="501">
        <f t="shared" si="6"/>
        <v>340</v>
      </c>
      <c r="AE27" s="35"/>
      <c r="AF27" s="497" t="s">
        <v>36</v>
      </c>
      <c r="AG27" s="498" t="s">
        <v>14</v>
      </c>
      <c r="AH27" s="498" t="str">
        <f t="shared" si="7"/>
        <v>7.73mm  to  12.71mm</v>
      </c>
      <c r="AI27" s="498">
        <v>250</v>
      </c>
      <c r="AJ27" s="227">
        <v>25</v>
      </c>
      <c r="AK27" s="501">
        <f t="shared" si="8"/>
        <v>720</v>
      </c>
    </row>
    <row r="28" spans="2:37" x14ac:dyDescent="0.25">
      <c r="B28" s="465">
        <v>6.1499999999999999E-2</v>
      </c>
      <c r="C28" s="465">
        <v>0.2505</v>
      </c>
      <c r="E28" s="466">
        <v>7.73</v>
      </c>
      <c r="F28" s="466">
        <v>12.71</v>
      </c>
      <c r="H28" s="522" t="str">
        <f t="shared" si="10"/>
        <v/>
      </c>
      <c r="I28" s="471" t="s">
        <v>37</v>
      </c>
      <c r="J28" s="494">
        <v>275</v>
      </c>
      <c r="K28" s="472">
        <v>340</v>
      </c>
      <c r="L28" s="483">
        <f t="shared" si="0"/>
        <v>65</v>
      </c>
      <c r="M28" s="474">
        <f t="shared" si="1"/>
        <v>0.23636363636363636</v>
      </c>
      <c r="N28" s="483">
        <f t="shared" si="9"/>
        <v>204</v>
      </c>
      <c r="O28" s="6"/>
      <c r="P28" s="522"/>
      <c r="Q28" s="471" t="s">
        <v>38</v>
      </c>
      <c r="R28" s="494">
        <v>595</v>
      </c>
      <c r="S28" s="472">
        <v>720</v>
      </c>
      <c r="T28" s="483">
        <f t="shared" si="2"/>
        <v>125</v>
      </c>
      <c r="U28" s="487">
        <f t="shared" si="3"/>
        <v>0.21008403361344538</v>
      </c>
      <c r="V28" s="473">
        <f t="shared" si="4"/>
        <v>432</v>
      </c>
      <c r="Y28" s="229" t="s">
        <v>37</v>
      </c>
      <c r="Z28" s="230" t="s">
        <v>17</v>
      </c>
      <c r="AA28" s="231" t="str">
        <f t="shared" si="5"/>
        <v>.0615"  to  .2505"</v>
      </c>
      <c r="AB28" s="230">
        <v>190</v>
      </c>
      <c r="AC28" s="232">
        <v>7</v>
      </c>
      <c r="AD28" s="233">
        <f t="shared" si="6"/>
        <v>340</v>
      </c>
      <c r="AE28" s="35"/>
      <c r="AF28" s="229" t="s">
        <v>38</v>
      </c>
      <c r="AG28" s="231" t="s">
        <v>17</v>
      </c>
      <c r="AH28" s="231" t="str">
        <f t="shared" si="7"/>
        <v>7.73mm  to  12.71mm</v>
      </c>
      <c r="AI28" s="231">
        <v>250</v>
      </c>
      <c r="AJ28" s="232">
        <v>25</v>
      </c>
      <c r="AK28" s="233">
        <f t="shared" si="8"/>
        <v>720</v>
      </c>
    </row>
    <row r="29" spans="2:37" x14ac:dyDescent="0.25">
      <c r="B29" s="465">
        <v>0.251</v>
      </c>
      <c r="C29" s="465">
        <v>0.5</v>
      </c>
      <c r="E29" s="466">
        <v>12.72</v>
      </c>
      <c r="F29" s="466">
        <v>15.3</v>
      </c>
      <c r="H29" s="522" t="str">
        <f t="shared" si="10"/>
        <v>M2</v>
      </c>
      <c r="I29" s="520" t="s">
        <v>39</v>
      </c>
      <c r="J29" s="492">
        <v>400</v>
      </c>
      <c r="K29" s="460">
        <v>490</v>
      </c>
      <c r="L29" s="481">
        <f t="shared" si="0"/>
        <v>90</v>
      </c>
      <c r="M29" s="463">
        <f t="shared" si="1"/>
        <v>0.22500000000000001</v>
      </c>
      <c r="N29" s="481">
        <f t="shared" si="9"/>
        <v>294</v>
      </c>
      <c r="O29" s="6"/>
      <c r="P29" s="522" t="str">
        <f>LEFT(Q29,LEN(Q29)-1)</f>
        <v>M3MM</v>
      </c>
      <c r="Q29" s="6" t="s">
        <v>40</v>
      </c>
      <c r="R29" s="492">
        <v>655</v>
      </c>
      <c r="S29" s="460">
        <v>770</v>
      </c>
      <c r="T29" s="481">
        <f t="shared" si="2"/>
        <v>115</v>
      </c>
      <c r="U29" s="485">
        <f t="shared" si="3"/>
        <v>0.17557251908396945</v>
      </c>
      <c r="V29" s="464">
        <f t="shared" si="4"/>
        <v>462</v>
      </c>
      <c r="Y29" s="198" t="s">
        <v>39</v>
      </c>
      <c r="Z29" s="220" t="s">
        <v>14</v>
      </c>
      <c r="AA29" s="221" t="str">
        <f t="shared" si="5"/>
        <v>.251"  to  .500"</v>
      </c>
      <c r="AB29" s="220">
        <v>250</v>
      </c>
      <c r="AC29" s="222">
        <v>23</v>
      </c>
      <c r="AD29" s="224">
        <f t="shared" si="6"/>
        <v>490</v>
      </c>
      <c r="AE29" s="35"/>
      <c r="AF29" s="198" t="s">
        <v>40</v>
      </c>
      <c r="AG29" s="221" t="s">
        <v>14</v>
      </c>
      <c r="AH29" s="221" t="str">
        <f t="shared" si="7"/>
        <v>12.72mm  to  15.30mm</v>
      </c>
      <c r="AI29" s="221">
        <v>130</v>
      </c>
      <c r="AJ29" s="222">
        <v>24</v>
      </c>
      <c r="AK29" s="224">
        <f t="shared" si="8"/>
        <v>770</v>
      </c>
    </row>
    <row r="30" spans="2:37" x14ac:dyDescent="0.25">
      <c r="B30" s="465">
        <v>0.251</v>
      </c>
      <c r="C30" s="465">
        <v>0.5</v>
      </c>
      <c r="E30" s="466">
        <v>12.72</v>
      </c>
      <c r="F30" s="466">
        <v>15.3</v>
      </c>
      <c r="H30" s="522" t="str">
        <f t="shared" si="10"/>
        <v/>
      </c>
      <c r="I30" s="520" t="s">
        <v>41</v>
      </c>
      <c r="J30" s="492">
        <v>400</v>
      </c>
      <c r="K30" s="460">
        <v>490</v>
      </c>
      <c r="L30" s="481">
        <f t="shared" si="0"/>
        <v>90</v>
      </c>
      <c r="M30" s="463">
        <f t="shared" si="1"/>
        <v>0.22500000000000001</v>
      </c>
      <c r="N30" s="481">
        <f t="shared" si="9"/>
        <v>294</v>
      </c>
      <c r="O30" s="6"/>
      <c r="P30" s="522"/>
      <c r="Q30" s="6" t="s">
        <v>42</v>
      </c>
      <c r="R30" s="492">
        <v>655</v>
      </c>
      <c r="S30" s="460">
        <v>770</v>
      </c>
      <c r="T30" s="481">
        <f t="shared" si="2"/>
        <v>115</v>
      </c>
      <c r="U30" s="485">
        <f t="shared" si="3"/>
        <v>0.17557251908396945</v>
      </c>
      <c r="V30" s="464">
        <f t="shared" si="4"/>
        <v>462</v>
      </c>
      <c r="Y30" s="198" t="s">
        <v>41</v>
      </c>
      <c r="Z30" s="220" t="s">
        <v>17</v>
      </c>
      <c r="AA30" s="221" t="str">
        <f t="shared" si="5"/>
        <v>.251"  to  .500"</v>
      </c>
      <c r="AB30" s="220">
        <v>250</v>
      </c>
      <c r="AC30" s="222">
        <v>23</v>
      </c>
      <c r="AD30" s="224">
        <f t="shared" si="6"/>
        <v>490</v>
      </c>
      <c r="AE30" s="35"/>
      <c r="AF30" s="198" t="s">
        <v>42</v>
      </c>
      <c r="AG30" s="221" t="s">
        <v>17</v>
      </c>
      <c r="AH30" s="221" t="str">
        <f t="shared" si="7"/>
        <v>12.72mm  to  15.30mm</v>
      </c>
      <c r="AI30" s="221">
        <v>130</v>
      </c>
      <c r="AJ30" s="222">
        <v>24</v>
      </c>
      <c r="AK30" s="224">
        <f t="shared" si="8"/>
        <v>770</v>
      </c>
    </row>
    <row r="31" spans="2:37" x14ac:dyDescent="0.25">
      <c r="B31" s="465">
        <v>0.2515</v>
      </c>
      <c r="C31" s="465">
        <v>0.50049999999999994</v>
      </c>
      <c r="E31" s="466">
        <v>12.73</v>
      </c>
      <c r="F31" s="466">
        <v>15.31</v>
      </c>
      <c r="H31" s="522" t="str">
        <f t="shared" si="10"/>
        <v>M25</v>
      </c>
      <c r="I31" s="467" t="s">
        <v>43</v>
      </c>
      <c r="J31" s="493">
        <v>405</v>
      </c>
      <c r="K31" s="468">
        <v>500</v>
      </c>
      <c r="L31" s="482">
        <f t="shared" si="0"/>
        <v>95</v>
      </c>
      <c r="M31" s="470">
        <f t="shared" si="1"/>
        <v>0.23456790123456789</v>
      </c>
      <c r="N31" s="482">
        <f t="shared" si="9"/>
        <v>300</v>
      </c>
      <c r="O31" s="6"/>
      <c r="P31" s="522" t="str">
        <f>LEFT(Q31,LEN(Q31)-1)</f>
        <v>M31MM</v>
      </c>
      <c r="Q31" s="467" t="s">
        <v>44</v>
      </c>
      <c r="R31" s="493">
        <v>660</v>
      </c>
      <c r="S31" s="468">
        <v>780</v>
      </c>
      <c r="T31" s="482">
        <f t="shared" si="2"/>
        <v>120</v>
      </c>
      <c r="U31" s="486">
        <f t="shared" si="3"/>
        <v>0.18181818181818182</v>
      </c>
      <c r="V31" s="469">
        <f t="shared" si="4"/>
        <v>468</v>
      </c>
      <c r="Y31" s="497" t="s">
        <v>43</v>
      </c>
      <c r="Z31" s="498" t="s">
        <v>14</v>
      </c>
      <c r="AA31" s="498" t="str">
        <f t="shared" si="5"/>
        <v>.2515"  to  .5005"</v>
      </c>
      <c r="AB31" s="498">
        <v>250</v>
      </c>
      <c r="AC31" s="227">
        <v>23</v>
      </c>
      <c r="AD31" s="501">
        <f t="shared" si="6"/>
        <v>500</v>
      </c>
      <c r="AE31" s="35"/>
      <c r="AF31" s="497" t="s">
        <v>44</v>
      </c>
      <c r="AG31" s="498" t="s">
        <v>14</v>
      </c>
      <c r="AH31" s="498" t="str">
        <f t="shared" si="7"/>
        <v>12.73mm  to  15.31mm</v>
      </c>
      <c r="AI31" s="498">
        <v>130</v>
      </c>
      <c r="AJ31" s="227">
        <v>24</v>
      </c>
      <c r="AK31" s="501">
        <f t="shared" si="8"/>
        <v>780</v>
      </c>
    </row>
    <row r="32" spans="2:37" x14ac:dyDescent="0.25">
      <c r="B32" s="465">
        <v>0.2515</v>
      </c>
      <c r="C32" s="465">
        <v>0.50049999999999994</v>
      </c>
      <c r="E32" s="466">
        <v>12.73</v>
      </c>
      <c r="F32" s="466">
        <v>15.31</v>
      </c>
      <c r="H32" s="522" t="str">
        <f t="shared" si="10"/>
        <v/>
      </c>
      <c r="I32" s="471" t="s">
        <v>45</v>
      </c>
      <c r="J32" s="494">
        <v>405</v>
      </c>
      <c r="K32" s="472">
        <v>500</v>
      </c>
      <c r="L32" s="483">
        <f t="shared" si="0"/>
        <v>95</v>
      </c>
      <c r="M32" s="474">
        <f t="shared" si="1"/>
        <v>0.23456790123456789</v>
      </c>
      <c r="N32" s="483">
        <f t="shared" si="9"/>
        <v>300</v>
      </c>
      <c r="O32" s="6"/>
      <c r="P32" s="522"/>
      <c r="Q32" s="471" t="s">
        <v>46</v>
      </c>
      <c r="R32" s="494">
        <v>660</v>
      </c>
      <c r="S32" s="472">
        <v>780</v>
      </c>
      <c r="T32" s="483">
        <f t="shared" si="2"/>
        <v>120</v>
      </c>
      <c r="U32" s="487">
        <f t="shared" si="3"/>
        <v>0.18181818181818182</v>
      </c>
      <c r="V32" s="473">
        <f t="shared" si="4"/>
        <v>468</v>
      </c>
      <c r="Y32" s="229" t="s">
        <v>45</v>
      </c>
      <c r="Z32" s="230" t="s">
        <v>17</v>
      </c>
      <c r="AA32" s="231" t="str">
        <f t="shared" si="5"/>
        <v>.2515"  to  .5005"</v>
      </c>
      <c r="AB32" s="230">
        <v>250</v>
      </c>
      <c r="AC32" s="232">
        <v>23</v>
      </c>
      <c r="AD32" s="233">
        <f t="shared" si="6"/>
        <v>500</v>
      </c>
      <c r="AE32" s="35"/>
      <c r="AF32" s="229" t="s">
        <v>46</v>
      </c>
      <c r="AG32" s="231" t="s">
        <v>17</v>
      </c>
      <c r="AH32" s="231" t="str">
        <f t="shared" si="7"/>
        <v>12.73mm  to  15.31mm</v>
      </c>
      <c r="AI32" s="231">
        <v>130</v>
      </c>
      <c r="AJ32" s="232">
        <v>24</v>
      </c>
      <c r="AK32" s="233">
        <f t="shared" si="8"/>
        <v>780</v>
      </c>
    </row>
    <row r="33" spans="2:37" x14ac:dyDescent="0.25">
      <c r="B33" s="465">
        <v>0.501</v>
      </c>
      <c r="C33" s="465">
        <v>0.625</v>
      </c>
      <c r="E33" s="466">
        <v>15.32</v>
      </c>
      <c r="F33" s="466">
        <v>17.8</v>
      </c>
      <c r="H33" s="522" t="str">
        <f t="shared" si="10"/>
        <v>M3</v>
      </c>
      <c r="I33" s="6" t="s">
        <v>47</v>
      </c>
      <c r="J33" s="492">
        <v>470</v>
      </c>
      <c r="K33" s="460">
        <v>570</v>
      </c>
      <c r="L33" s="481">
        <f t="shared" si="0"/>
        <v>100</v>
      </c>
      <c r="M33" s="463">
        <f t="shared" si="1"/>
        <v>0.21276595744680851</v>
      </c>
      <c r="N33" s="481">
        <f t="shared" si="9"/>
        <v>342</v>
      </c>
      <c r="O33" s="6"/>
      <c r="P33" s="522" t="str">
        <f>LEFT(Q33,LEN(Q33)-1)</f>
        <v>M4MM</v>
      </c>
      <c r="Q33" s="6" t="s">
        <v>48</v>
      </c>
      <c r="R33" s="492">
        <v>695</v>
      </c>
      <c r="S33" s="460">
        <v>810</v>
      </c>
      <c r="T33" s="481">
        <f t="shared" si="2"/>
        <v>115</v>
      </c>
      <c r="U33" s="485">
        <f t="shared" si="3"/>
        <v>0.16546762589928057</v>
      </c>
      <c r="V33" s="464">
        <f t="shared" si="4"/>
        <v>486</v>
      </c>
      <c r="Y33" s="198" t="s">
        <v>47</v>
      </c>
      <c r="Z33" s="220" t="s">
        <v>14</v>
      </c>
      <c r="AA33" s="221" t="str">
        <f t="shared" si="5"/>
        <v>.501"  to  .625"</v>
      </c>
      <c r="AB33" s="220">
        <v>125</v>
      </c>
      <c r="AC33" s="222">
        <v>24</v>
      </c>
      <c r="AD33" s="224">
        <f t="shared" si="6"/>
        <v>570</v>
      </c>
      <c r="AE33" s="35"/>
      <c r="AF33" s="198" t="s">
        <v>48</v>
      </c>
      <c r="AG33" s="221" t="s">
        <v>14</v>
      </c>
      <c r="AH33" s="221" t="str">
        <f t="shared" si="7"/>
        <v>15.32mm  to  17.80mm</v>
      </c>
      <c r="AI33" s="221">
        <v>125</v>
      </c>
      <c r="AJ33" s="222">
        <v>30</v>
      </c>
      <c r="AK33" s="224">
        <f t="shared" si="8"/>
        <v>810</v>
      </c>
    </row>
    <row r="34" spans="2:37" x14ac:dyDescent="0.25">
      <c r="B34" s="465">
        <v>0.501</v>
      </c>
      <c r="C34" s="465">
        <v>0.625</v>
      </c>
      <c r="E34" s="466">
        <v>15.32</v>
      </c>
      <c r="F34" s="466">
        <v>17.8</v>
      </c>
      <c r="H34" s="522" t="str">
        <f t="shared" si="10"/>
        <v/>
      </c>
      <c r="I34" s="6" t="s">
        <v>49</v>
      </c>
      <c r="J34" s="492">
        <v>470</v>
      </c>
      <c r="K34" s="460">
        <v>570</v>
      </c>
      <c r="L34" s="481">
        <f t="shared" si="0"/>
        <v>100</v>
      </c>
      <c r="M34" s="463">
        <f t="shared" si="1"/>
        <v>0.21276595744680851</v>
      </c>
      <c r="N34" s="481">
        <f t="shared" si="9"/>
        <v>342</v>
      </c>
      <c r="O34" s="6"/>
      <c r="P34" s="522"/>
      <c r="Q34" s="6" t="s">
        <v>50</v>
      </c>
      <c r="R34" s="492">
        <v>695</v>
      </c>
      <c r="S34" s="460">
        <v>810</v>
      </c>
      <c r="T34" s="481">
        <f t="shared" si="2"/>
        <v>115</v>
      </c>
      <c r="U34" s="485">
        <f t="shared" si="3"/>
        <v>0.16546762589928057</v>
      </c>
      <c r="V34" s="464">
        <f t="shared" si="4"/>
        <v>486</v>
      </c>
      <c r="Y34" s="198" t="s">
        <v>49</v>
      </c>
      <c r="Z34" s="220" t="s">
        <v>17</v>
      </c>
      <c r="AA34" s="221" t="str">
        <f t="shared" si="5"/>
        <v>.501"  to  .625"</v>
      </c>
      <c r="AB34" s="220">
        <v>125</v>
      </c>
      <c r="AC34" s="222">
        <v>24</v>
      </c>
      <c r="AD34" s="224">
        <f t="shared" si="6"/>
        <v>570</v>
      </c>
      <c r="AE34" s="35"/>
      <c r="AF34" s="198" t="s">
        <v>50</v>
      </c>
      <c r="AG34" s="221" t="s">
        <v>17</v>
      </c>
      <c r="AH34" s="221" t="str">
        <f t="shared" si="7"/>
        <v>15.32mm  to  17.80mm</v>
      </c>
      <c r="AI34" s="221">
        <v>125</v>
      </c>
      <c r="AJ34" s="222">
        <v>30</v>
      </c>
      <c r="AK34" s="224">
        <f t="shared" si="8"/>
        <v>810</v>
      </c>
    </row>
    <row r="35" spans="2:37" x14ac:dyDescent="0.25">
      <c r="B35" s="465">
        <v>0.50149999999999995</v>
      </c>
      <c r="C35" s="465">
        <v>0.62549999999999994</v>
      </c>
      <c r="E35" s="466">
        <v>15.33</v>
      </c>
      <c r="F35" s="466">
        <v>17.809999999999999</v>
      </c>
      <c r="H35" s="522" t="str">
        <f t="shared" si="10"/>
        <v>M35</v>
      </c>
      <c r="I35" s="467" t="s">
        <v>51</v>
      </c>
      <c r="J35" s="493">
        <v>475</v>
      </c>
      <c r="K35" s="468">
        <v>580</v>
      </c>
      <c r="L35" s="482">
        <f t="shared" si="0"/>
        <v>105</v>
      </c>
      <c r="M35" s="470">
        <f t="shared" si="1"/>
        <v>0.22105263157894736</v>
      </c>
      <c r="N35" s="482">
        <f t="shared" si="9"/>
        <v>348</v>
      </c>
      <c r="O35" s="6"/>
      <c r="P35" s="522" t="str">
        <f>LEFT(Q35,LEN(Q35)-1)</f>
        <v>M41MM</v>
      </c>
      <c r="Q35" s="467" t="s">
        <v>52</v>
      </c>
      <c r="R35" s="493">
        <v>700</v>
      </c>
      <c r="S35" s="468">
        <v>820</v>
      </c>
      <c r="T35" s="482">
        <f t="shared" si="2"/>
        <v>120</v>
      </c>
      <c r="U35" s="486">
        <f t="shared" si="3"/>
        <v>0.17142857142857143</v>
      </c>
      <c r="V35" s="469">
        <f t="shared" si="4"/>
        <v>492</v>
      </c>
      <c r="Y35" s="497" t="s">
        <v>51</v>
      </c>
      <c r="Z35" s="498" t="s">
        <v>14</v>
      </c>
      <c r="AA35" s="498" t="str">
        <f t="shared" si="5"/>
        <v>.5015"  to  .6255"</v>
      </c>
      <c r="AB35" s="498">
        <v>125</v>
      </c>
      <c r="AC35" s="227">
        <v>24</v>
      </c>
      <c r="AD35" s="501">
        <f t="shared" si="6"/>
        <v>580</v>
      </c>
      <c r="AE35" s="35"/>
      <c r="AF35" s="497" t="s">
        <v>52</v>
      </c>
      <c r="AG35" s="498" t="s">
        <v>14</v>
      </c>
      <c r="AH35" s="498" t="str">
        <f t="shared" si="7"/>
        <v>15.33mm  to  17.81mm</v>
      </c>
      <c r="AI35" s="498">
        <v>125</v>
      </c>
      <c r="AJ35" s="227">
        <v>30</v>
      </c>
      <c r="AK35" s="501">
        <f t="shared" si="8"/>
        <v>820</v>
      </c>
    </row>
    <row r="36" spans="2:37" x14ac:dyDescent="0.25">
      <c r="B36" s="465">
        <v>0.50149999999999995</v>
      </c>
      <c r="C36" s="465">
        <v>0.62549999999999994</v>
      </c>
      <c r="E36" s="466">
        <v>15.33</v>
      </c>
      <c r="F36" s="466">
        <v>17.809999999999999</v>
      </c>
      <c r="H36" s="522" t="str">
        <f t="shared" si="10"/>
        <v/>
      </c>
      <c r="I36" s="471" t="s">
        <v>53</v>
      </c>
      <c r="J36" s="494">
        <v>475</v>
      </c>
      <c r="K36" s="472">
        <v>580</v>
      </c>
      <c r="L36" s="483">
        <f t="shared" si="0"/>
        <v>105</v>
      </c>
      <c r="M36" s="474">
        <f t="shared" si="1"/>
        <v>0.22105263157894736</v>
      </c>
      <c r="N36" s="483">
        <f t="shared" si="9"/>
        <v>348</v>
      </c>
      <c r="O36" s="6"/>
      <c r="P36" s="522"/>
      <c r="Q36" s="471" t="s">
        <v>54</v>
      </c>
      <c r="R36" s="494">
        <v>700</v>
      </c>
      <c r="S36" s="472">
        <v>820</v>
      </c>
      <c r="T36" s="483">
        <f t="shared" si="2"/>
        <v>120</v>
      </c>
      <c r="U36" s="487">
        <f t="shared" si="3"/>
        <v>0.17142857142857143</v>
      </c>
      <c r="V36" s="473">
        <f t="shared" si="4"/>
        <v>492</v>
      </c>
      <c r="Y36" s="229" t="s">
        <v>53</v>
      </c>
      <c r="Z36" s="230" t="s">
        <v>17</v>
      </c>
      <c r="AA36" s="231" t="str">
        <f t="shared" si="5"/>
        <v>.5015"  to  .6255"</v>
      </c>
      <c r="AB36" s="230">
        <v>125</v>
      </c>
      <c r="AC36" s="232">
        <v>24</v>
      </c>
      <c r="AD36" s="233">
        <f t="shared" si="6"/>
        <v>580</v>
      </c>
      <c r="AE36" s="35"/>
      <c r="AF36" s="229" t="s">
        <v>54</v>
      </c>
      <c r="AG36" s="231" t="s">
        <v>17</v>
      </c>
      <c r="AH36" s="231" t="str">
        <f t="shared" si="7"/>
        <v>15.33mm  to  17.81mm</v>
      </c>
      <c r="AI36" s="231">
        <v>125</v>
      </c>
      <c r="AJ36" s="232">
        <v>30</v>
      </c>
      <c r="AK36" s="233">
        <f t="shared" si="8"/>
        <v>820</v>
      </c>
    </row>
    <row r="37" spans="2:37" x14ac:dyDescent="0.25">
      <c r="B37" s="465">
        <v>0.626</v>
      </c>
      <c r="C37" s="465">
        <v>0.75</v>
      </c>
      <c r="E37" s="466">
        <v>17.82</v>
      </c>
      <c r="F37" s="466">
        <v>20.36</v>
      </c>
      <c r="H37" s="522" t="str">
        <f t="shared" si="10"/>
        <v>M4</v>
      </c>
      <c r="I37" s="6" t="s">
        <v>55</v>
      </c>
      <c r="J37" s="492">
        <v>520</v>
      </c>
      <c r="K37" s="460">
        <v>630</v>
      </c>
      <c r="L37" s="481">
        <f t="shared" si="0"/>
        <v>110</v>
      </c>
      <c r="M37" s="463">
        <f t="shared" si="1"/>
        <v>0.21153846153846154</v>
      </c>
      <c r="N37" s="481">
        <f t="shared" si="9"/>
        <v>378</v>
      </c>
      <c r="O37" s="6"/>
      <c r="P37" s="522" t="str">
        <f>LEFT(Q37,LEN(Q37)-1)</f>
        <v>M5MM</v>
      </c>
      <c r="Q37" s="6" t="s">
        <v>56</v>
      </c>
      <c r="R37" s="492">
        <v>825</v>
      </c>
      <c r="S37" s="460">
        <v>940</v>
      </c>
      <c r="T37" s="481">
        <f t="shared" si="2"/>
        <v>115</v>
      </c>
      <c r="U37" s="485">
        <f t="shared" si="3"/>
        <v>0.1393939393939394</v>
      </c>
      <c r="V37" s="464">
        <f t="shared" si="4"/>
        <v>564</v>
      </c>
      <c r="Y37" s="198" t="s">
        <v>55</v>
      </c>
      <c r="Z37" s="220" t="s">
        <v>14</v>
      </c>
      <c r="AA37" s="221" t="str">
        <f t="shared" si="5"/>
        <v>.626"  to  .750"</v>
      </c>
      <c r="AB37" s="220">
        <v>125</v>
      </c>
      <c r="AC37" s="222">
        <v>33</v>
      </c>
      <c r="AD37" s="224">
        <f t="shared" si="6"/>
        <v>630</v>
      </c>
      <c r="AE37" s="35"/>
      <c r="AF37" s="198" t="s">
        <v>56</v>
      </c>
      <c r="AG37" s="221" t="s">
        <v>14</v>
      </c>
      <c r="AH37" s="221" t="str">
        <f t="shared" si="7"/>
        <v>17.82mm  to  20.36mm</v>
      </c>
      <c r="AI37" s="221">
        <v>128</v>
      </c>
      <c r="AJ37" s="222">
        <v>38</v>
      </c>
      <c r="AK37" s="224">
        <f t="shared" si="8"/>
        <v>940</v>
      </c>
    </row>
    <row r="38" spans="2:37" x14ac:dyDescent="0.25">
      <c r="B38" s="465">
        <v>0.626</v>
      </c>
      <c r="C38" s="465">
        <v>0.75</v>
      </c>
      <c r="E38" s="466">
        <v>17.82</v>
      </c>
      <c r="F38" s="466">
        <v>20.36</v>
      </c>
      <c r="H38" s="522" t="str">
        <f t="shared" si="10"/>
        <v/>
      </c>
      <c r="I38" s="6" t="s">
        <v>57</v>
      </c>
      <c r="J38" s="492">
        <v>520</v>
      </c>
      <c r="K38" s="460">
        <v>630</v>
      </c>
      <c r="L38" s="481">
        <f t="shared" si="0"/>
        <v>110</v>
      </c>
      <c r="M38" s="463">
        <f t="shared" si="1"/>
        <v>0.21153846153846154</v>
      </c>
      <c r="N38" s="481">
        <f t="shared" si="9"/>
        <v>378</v>
      </c>
      <c r="O38" s="6"/>
      <c r="P38" s="522"/>
      <c r="Q38" s="6" t="s">
        <v>58</v>
      </c>
      <c r="R38" s="492">
        <v>825</v>
      </c>
      <c r="S38" s="460">
        <v>940</v>
      </c>
      <c r="T38" s="481">
        <f t="shared" si="2"/>
        <v>115</v>
      </c>
      <c r="U38" s="485">
        <f t="shared" si="3"/>
        <v>0.1393939393939394</v>
      </c>
      <c r="V38" s="464">
        <f t="shared" si="4"/>
        <v>564</v>
      </c>
      <c r="Y38" s="198" t="s">
        <v>57</v>
      </c>
      <c r="Z38" s="220" t="s">
        <v>17</v>
      </c>
      <c r="AA38" s="221" t="str">
        <f t="shared" si="5"/>
        <v>.626"  to  .750"</v>
      </c>
      <c r="AB38" s="220">
        <v>125</v>
      </c>
      <c r="AC38" s="222">
        <v>33</v>
      </c>
      <c r="AD38" s="224">
        <f t="shared" si="6"/>
        <v>630</v>
      </c>
      <c r="AE38" s="35"/>
      <c r="AF38" s="198" t="s">
        <v>58</v>
      </c>
      <c r="AG38" s="221" t="s">
        <v>17</v>
      </c>
      <c r="AH38" s="221" t="str">
        <f t="shared" si="7"/>
        <v>17.82mm  to  20.36mm</v>
      </c>
      <c r="AI38" s="221">
        <v>128</v>
      </c>
      <c r="AJ38" s="222">
        <v>38</v>
      </c>
      <c r="AK38" s="224">
        <f t="shared" si="8"/>
        <v>940</v>
      </c>
    </row>
    <row r="39" spans="2:37" x14ac:dyDescent="0.25">
      <c r="B39" s="465">
        <v>0.62649999999999995</v>
      </c>
      <c r="C39" s="465">
        <v>0.75049999999999994</v>
      </c>
      <c r="E39" s="466">
        <v>17.829999999999998</v>
      </c>
      <c r="F39" s="466">
        <v>20.37</v>
      </c>
      <c r="H39" s="522" t="str">
        <f t="shared" si="10"/>
        <v>M45</v>
      </c>
      <c r="I39" s="467" t="s">
        <v>59</v>
      </c>
      <c r="J39" s="493">
        <v>525</v>
      </c>
      <c r="K39" s="468">
        <v>650</v>
      </c>
      <c r="L39" s="482">
        <f t="shared" si="0"/>
        <v>125</v>
      </c>
      <c r="M39" s="470">
        <f t="shared" si="1"/>
        <v>0.23809523809523808</v>
      </c>
      <c r="N39" s="482">
        <f t="shared" si="9"/>
        <v>390</v>
      </c>
      <c r="O39" s="6"/>
      <c r="P39" s="522" t="str">
        <f>LEFT(Q39,LEN(Q39)-1)</f>
        <v>M51MM</v>
      </c>
      <c r="Q39" s="467" t="s">
        <v>60</v>
      </c>
      <c r="R39" s="493">
        <v>830</v>
      </c>
      <c r="S39" s="468">
        <v>950</v>
      </c>
      <c r="T39" s="482">
        <f t="shared" si="2"/>
        <v>120</v>
      </c>
      <c r="U39" s="486">
        <f t="shared" si="3"/>
        <v>0.14457831325301204</v>
      </c>
      <c r="V39" s="469">
        <f t="shared" si="4"/>
        <v>570</v>
      </c>
      <c r="Y39" s="497" t="s">
        <v>59</v>
      </c>
      <c r="Z39" s="498" t="s">
        <v>14</v>
      </c>
      <c r="AA39" s="498" t="str">
        <f t="shared" si="5"/>
        <v>.6265"  to  .7505"</v>
      </c>
      <c r="AB39" s="498">
        <v>125</v>
      </c>
      <c r="AC39" s="227">
        <v>33</v>
      </c>
      <c r="AD39" s="501">
        <f t="shared" si="6"/>
        <v>650</v>
      </c>
      <c r="AE39" s="35"/>
      <c r="AF39" s="497" t="s">
        <v>60</v>
      </c>
      <c r="AG39" s="498" t="s">
        <v>14</v>
      </c>
      <c r="AH39" s="498" t="str">
        <f t="shared" si="7"/>
        <v>17.83mm  to  20.37mm</v>
      </c>
      <c r="AI39" s="498">
        <v>128</v>
      </c>
      <c r="AJ39" s="227">
        <v>38</v>
      </c>
      <c r="AK39" s="501">
        <f t="shared" si="8"/>
        <v>950</v>
      </c>
    </row>
    <row r="40" spans="2:37" x14ac:dyDescent="0.25">
      <c r="B40" s="465">
        <v>0.62649999999999995</v>
      </c>
      <c r="C40" s="465">
        <v>0.75049999999999994</v>
      </c>
      <c r="E40" s="466">
        <v>17.829999999999998</v>
      </c>
      <c r="F40" s="466">
        <v>20.37</v>
      </c>
      <c r="H40" s="522" t="str">
        <f t="shared" si="10"/>
        <v/>
      </c>
      <c r="I40" s="471" t="s">
        <v>61</v>
      </c>
      <c r="J40" s="494">
        <v>525</v>
      </c>
      <c r="K40" s="472">
        <v>650</v>
      </c>
      <c r="L40" s="483">
        <f t="shared" si="0"/>
        <v>125</v>
      </c>
      <c r="M40" s="474">
        <f t="shared" si="1"/>
        <v>0.23809523809523808</v>
      </c>
      <c r="N40" s="483">
        <f t="shared" si="9"/>
        <v>390</v>
      </c>
      <c r="O40" s="6"/>
      <c r="P40" s="522"/>
      <c r="Q40" s="471" t="s">
        <v>62</v>
      </c>
      <c r="R40" s="494">
        <v>830</v>
      </c>
      <c r="S40" s="472">
        <v>950</v>
      </c>
      <c r="T40" s="483">
        <f t="shared" si="2"/>
        <v>120</v>
      </c>
      <c r="U40" s="487">
        <f t="shared" si="3"/>
        <v>0.14457831325301204</v>
      </c>
      <c r="V40" s="473">
        <f t="shared" si="4"/>
        <v>570</v>
      </c>
      <c r="Y40" s="229" t="s">
        <v>61</v>
      </c>
      <c r="Z40" s="230" t="s">
        <v>17</v>
      </c>
      <c r="AA40" s="231" t="str">
        <f t="shared" si="5"/>
        <v>.6265"  to  .7505"</v>
      </c>
      <c r="AB40" s="230">
        <v>125</v>
      </c>
      <c r="AC40" s="232">
        <v>33</v>
      </c>
      <c r="AD40" s="233">
        <f t="shared" si="6"/>
        <v>650</v>
      </c>
      <c r="AE40" s="35"/>
      <c r="AF40" s="229" t="s">
        <v>62</v>
      </c>
      <c r="AG40" s="231" t="s">
        <v>17</v>
      </c>
      <c r="AH40" s="231" t="str">
        <f t="shared" si="7"/>
        <v>17.83mm  to  20.37mm</v>
      </c>
      <c r="AI40" s="231">
        <v>128</v>
      </c>
      <c r="AJ40" s="232">
        <v>38</v>
      </c>
      <c r="AK40" s="233">
        <f t="shared" si="8"/>
        <v>950</v>
      </c>
    </row>
    <row r="41" spans="2:37" x14ac:dyDescent="0.25">
      <c r="B41" s="465">
        <v>0.751</v>
      </c>
      <c r="C41" s="465">
        <v>0.83199999999999996</v>
      </c>
      <c r="E41" s="466">
        <v>20.38</v>
      </c>
      <c r="F41" s="466">
        <v>22.04</v>
      </c>
      <c r="H41" s="522" t="str">
        <f t="shared" si="10"/>
        <v>M5</v>
      </c>
      <c r="I41" s="6" t="s">
        <v>63</v>
      </c>
      <c r="J41" s="492">
        <v>880</v>
      </c>
      <c r="K41" s="460">
        <v>1060</v>
      </c>
      <c r="L41" s="481">
        <f t="shared" si="0"/>
        <v>180</v>
      </c>
      <c r="M41" s="463">
        <f t="shared" si="1"/>
        <v>0.20454545454545456</v>
      </c>
      <c r="N41" s="481">
        <f t="shared" si="9"/>
        <v>636</v>
      </c>
      <c r="O41" s="6"/>
      <c r="P41" s="522" t="str">
        <f>LEFT(Q41,LEN(Q41)-1)</f>
        <v>M6MM</v>
      </c>
      <c r="Q41" s="6" t="s">
        <v>64</v>
      </c>
      <c r="R41" s="492">
        <v>985</v>
      </c>
      <c r="S41" s="460">
        <v>1110</v>
      </c>
      <c r="T41" s="481">
        <f t="shared" si="2"/>
        <v>125</v>
      </c>
      <c r="U41" s="485">
        <f t="shared" si="3"/>
        <v>0.12690355329949238</v>
      </c>
      <c r="V41" s="464">
        <f t="shared" si="4"/>
        <v>666</v>
      </c>
      <c r="Y41" s="198" t="s">
        <v>63</v>
      </c>
      <c r="Z41" s="220" t="s">
        <v>14</v>
      </c>
      <c r="AA41" s="221" t="str">
        <f t="shared" si="5"/>
        <v>.751"  to  .832"</v>
      </c>
      <c r="AB41" s="220">
        <v>82</v>
      </c>
      <c r="AC41" s="222">
        <v>29</v>
      </c>
      <c r="AD41" s="224">
        <f t="shared" si="6"/>
        <v>1060</v>
      </c>
      <c r="AE41" s="35"/>
      <c r="AF41" s="198" t="s">
        <v>64</v>
      </c>
      <c r="AG41" s="221" t="s">
        <v>14</v>
      </c>
      <c r="AH41" s="221" t="str">
        <f t="shared" si="7"/>
        <v>20.38mm  to  22.04mm</v>
      </c>
      <c r="AI41" s="221">
        <v>84</v>
      </c>
      <c r="AJ41" s="222">
        <v>33</v>
      </c>
      <c r="AK41" s="224">
        <f t="shared" si="8"/>
        <v>1110</v>
      </c>
    </row>
    <row r="42" spans="2:37" x14ac:dyDescent="0.25">
      <c r="B42" s="465">
        <v>0.751</v>
      </c>
      <c r="C42" s="465">
        <v>0.83199999999999996</v>
      </c>
      <c r="E42" s="466">
        <v>20.38</v>
      </c>
      <c r="F42" s="466">
        <v>22.04</v>
      </c>
      <c r="H42" s="522" t="str">
        <f t="shared" si="10"/>
        <v/>
      </c>
      <c r="I42" s="6" t="s">
        <v>65</v>
      </c>
      <c r="J42" s="492">
        <v>880</v>
      </c>
      <c r="K42" s="460">
        <v>1060</v>
      </c>
      <c r="L42" s="481">
        <f t="shared" si="0"/>
        <v>180</v>
      </c>
      <c r="M42" s="463">
        <f t="shared" si="1"/>
        <v>0.20454545454545456</v>
      </c>
      <c r="N42" s="481">
        <f t="shared" si="9"/>
        <v>636</v>
      </c>
      <c r="O42" s="6"/>
      <c r="P42" s="522"/>
      <c r="Q42" s="6" t="s">
        <v>66</v>
      </c>
      <c r="R42" s="492">
        <v>985</v>
      </c>
      <c r="S42" s="460">
        <v>1110</v>
      </c>
      <c r="T42" s="481">
        <f t="shared" si="2"/>
        <v>125</v>
      </c>
      <c r="U42" s="485">
        <f t="shared" si="3"/>
        <v>0.12690355329949238</v>
      </c>
      <c r="V42" s="464">
        <f t="shared" si="4"/>
        <v>666</v>
      </c>
      <c r="Y42" s="198" t="s">
        <v>65</v>
      </c>
      <c r="Z42" s="220" t="s">
        <v>17</v>
      </c>
      <c r="AA42" s="221" t="str">
        <f t="shared" si="5"/>
        <v>.751"  to  .832"</v>
      </c>
      <c r="AB42" s="220">
        <v>82</v>
      </c>
      <c r="AC42" s="222">
        <v>29</v>
      </c>
      <c r="AD42" s="224">
        <f t="shared" si="6"/>
        <v>1060</v>
      </c>
      <c r="AE42" s="35"/>
      <c r="AF42" s="198" t="s">
        <v>66</v>
      </c>
      <c r="AG42" s="221" t="s">
        <v>17</v>
      </c>
      <c r="AH42" s="221" t="str">
        <f t="shared" si="7"/>
        <v>20.38mm  to  22.04mm</v>
      </c>
      <c r="AI42" s="221">
        <v>84</v>
      </c>
      <c r="AJ42" s="222">
        <v>33</v>
      </c>
      <c r="AK42" s="224">
        <f t="shared" si="8"/>
        <v>1110</v>
      </c>
    </row>
    <row r="43" spans="2:37" x14ac:dyDescent="0.25">
      <c r="B43" s="465">
        <v>0.75149999999999995</v>
      </c>
      <c r="C43" s="465">
        <v>0.83250000000000002</v>
      </c>
      <c r="E43" s="466">
        <v>20.39</v>
      </c>
      <c r="F43" s="466">
        <v>22.05</v>
      </c>
      <c r="H43" s="522" t="str">
        <f t="shared" si="10"/>
        <v>M55</v>
      </c>
      <c r="I43" s="467" t="s">
        <v>67</v>
      </c>
      <c r="J43" s="493">
        <v>900</v>
      </c>
      <c r="K43" s="468">
        <v>1080</v>
      </c>
      <c r="L43" s="482">
        <f t="shared" si="0"/>
        <v>180</v>
      </c>
      <c r="M43" s="470">
        <f t="shared" si="1"/>
        <v>0.2</v>
      </c>
      <c r="N43" s="482">
        <f t="shared" si="9"/>
        <v>648</v>
      </c>
      <c r="O43" s="6"/>
      <c r="P43" s="522" t="str">
        <f>LEFT(Q43,LEN(Q43)-1)</f>
        <v>M61MM</v>
      </c>
      <c r="Q43" s="467" t="s">
        <v>68</v>
      </c>
      <c r="R43" s="493">
        <v>990</v>
      </c>
      <c r="S43" s="468">
        <v>1130</v>
      </c>
      <c r="T43" s="482">
        <f t="shared" si="2"/>
        <v>140</v>
      </c>
      <c r="U43" s="486">
        <f t="shared" si="3"/>
        <v>0.14141414141414141</v>
      </c>
      <c r="V43" s="469">
        <f t="shared" si="4"/>
        <v>678</v>
      </c>
      <c r="Y43" s="497" t="s">
        <v>67</v>
      </c>
      <c r="Z43" s="498" t="s">
        <v>14</v>
      </c>
      <c r="AA43" s="498" t="str">
        <f t="shared" si="5"/>
        <v>.7515"  to  .8325"</v>
      </c>
      <c r="AB43" s="498">
        <v>82</v>
      </c>
      <c r="AC43" s="227">
        <v>29</v>
      </c>
      <c r="AD43" s="501">
        <f t="shared" si="6"/>
        <v>1080</v>
      </c>
      <c r="AE43" s="35"/>
      <c r="AF43" s="497" t="s">
        <v>68</v>
      </c>
      <c r="AG43" s="498" t="s">
        <v>14</v>
      </c>
      <c r="AH43" s="498" t="str">
        <f t="shared" si="7"/>
        <v>20.39mm  to  22.05mm</v>
      </c>
      <c r="AI43" s="498">
        <v>84</v>
      </c>
      <c r="AJ43" s="227">
        <v>33</v>
      </c>
      <c r="AK43" s="501">
        <f t="shared" si="8"/>
        <v>1130</v>
      </c>
    </row>
    <row r="44" spans="2:37" x14ac:dyDescent="0.25">
      <c r="B44" s="465">
        <v>0.75149999999999995</v>
      </c>
      <c r="C44" s="465">
        <v>0.83250000000000002</v>
      </c>
      <c r="E44" s="466">
        <v>20.39</v>
      </c>
      <c r="F44" s="466">
        <v>22.05</v>
      </c>
      <c r="H44" s="522" t="str">
        <f t="shared" si="10"/>
        <v/>
      </c>
      <c r="I44" s="471" t="s">
        <v>69</v>
      </c>
      <c r="J44" s="494">
        <v>900</v>
      </c>
      <c r="K44" s="472">
        <v>1080</v>
      </c>
      <c r="L44" s="483">
        <f t="shared" si="0"/>
        <v>180</v>
      </c>
      <c r="M44" s="474">
        <f t="shared" si="1"/>
        <v>0.2</v>
      </c>
      <c r="N44" s="483">
        <f t="shared" si="9"/>
        <v>648</v>
      </c>
      <c r="O44" s="6"/>
      <c r="P44" s="522"/>
      <c r="Q44" s="471" t="s">
        <v>70</v>
      </c>
      <c r="R44" s="494">
        <v>990</v>
      </c>
      <c r="S44" s="472">
        <v>1130</v>
      </c>
      <c r="T44" s="483">
        <f t="shared" si="2"/>
        <v>140</v>
      </c>
      <c r="U44" s="487">
        <f t="shared" si="3"/>
        <v>0.14141414141414141</v>
      </c>
      <c r="V44" s="473">
        <f t="shared" si="4"/>
        <v>678</v>
      </c>
      <c r="Y44" s="229" t="s">
        <v>69</v>
      </c>
      <c r="Z44" s="230" t="s">
        <v>17</v>
      </c>
      <c r="AA44" s="231" t="str">
        <f t="shared" si="5"/>
        <v>.7515"  to  .8325"</v>
      </c>
      <c r="AB44" s="230">
        <v>82</v>
      </c>
      <c r="AC44" s="232">
        <v>29</v>
      </c>
      <c r="AD44" s="233">
        <f t="shared" si="6"/>
        <v>1080</v>
      </c>
      <c r="AE44" s="35"/>
      <c r="AF44" s="229" t="s">
        <v>70</v>
      </c>
      <c r="AG44" s="231" t="s">
        <v>17</v>
      </c>
      <c r="AH44" s="231" t="str">
        <f t="shared" si="7"/>
        <v>20.39mm  to  22.05mm</v>
      </c>
      <c r="AI44" s="231">
        <v>84</v>
      </c>
      <c r="AJ44" s="232">
        <v>33</v>
      </c>
      <c r="AK44" s="233">
        <f t="shared" si="8"/>
        <v>1130</v>
      </c>
    </row>
    <row r="45" spans="2:37" x14ac:dyDescent="0.25">
      <c r="B45" s="465">
        <v>0.83299999999999996</v>
      </c>
      <c r="C45" s="465">
        <v>0.91600000000000004</v>
      </c>
      <c r="E45" s="466">
        <v>22.06</v>
      </c>
      <c r="F45" s="466">
        <v>23.72</v>
      </c>
      <c r="H45" s="522" t="str">
        <f t="shared" si="10"/>
        <v>M6</v>
      </c>
      <c r="I45" s="6" t="s">
        <v>71</v>
      </c>
      <c r="J45" s="492">
        <v>1025</v>
      </c>
      <c r="K45" s="460">
        <v>1220</v>
      </c>
      <c r="L45" s="481">
        <f t="shared" si="0"/>
        <v>195</v>
      </c>
      <c r="M45" s="463">
        <f t="shared" si="1"/>
        <v>0.19024390243902439</v>
      </c>
      <c r="N45" s="481">
        <f t="shared" si="9"/>
        <v>732</v>
      </c>
      <c r="O45" s="6"/>
      <c r="P45" s="522" t="str">
        <f>LEFT(Q45,LEN(Q45)-1)</f>
        <v>M7MM</v>
      </c>
      <c r="Q45" s="6" t="s">
        <v>72</v>
      </c>
      <c r="R45" s="492">
        <v>1135</v>
      </c>
      <c r="S45" s="460">
        <v>1250</v>
      </c>
      <c r="T45" s="481">
        <f t="shared" si="2"/>
        <v>115</v>
      </c>
      <c r="U45" s="485">
        <f t="shared" si="3"/>
        <v>0.1013215859030837</v>
      </c>
      <c r="V45" s="464">
        <f t="shared" si="4"/>
        <v>750</v>
      </c>
      <c r="Y45" s="198" t="s">
        <v>71</v>
      </c>
      <c r="Z45" s="220" t="s">
        <v>14</v>
      </c>
      <c r="AA45" s="221" t="str">
        <f t="shared" si="5"/>
        <v>.833"  to  .916"</v>
      </c>
      <c r="AB45" s="220">
        <v>84</v>
      </c>
      <c r="AC45" s="222">
        <v>35</v>
      </c>
      <c r="AD45" s="224">
        <f t="shared" si="6"/>
        <v>1220</v>
      </c>
      <c r="AE45" s="35"/>
      <c r="AF45" s="198" t="s">
        <v>72</v>
      </c>
      <c r="AG45" s="221" t="s">
        <v>14</v>
      </c>
      <c r="AH45" s="221" t="str">
        <f t="shared" si="7"/>
        <v>22.06mm  to  23.72mm</v>
      </c>
      <c r="AI45" s="221">
        <v>84</v>
      </c>
      <c r="AJ45" s="222">
        <v>36</v>
      </c>
      <c r="AK45" s="224">
        <f t="shared" si="8"/>
        <v>1250</v>
      </c>
    </row>
    <row r="46" spans="2:37" x14ac:dyDescent="0.25">
      <c r="B46" s="465">
        <v>0.83299999999999996</v>
      </c>
      <c r="C46" s="465">
        <v>0.91600000000000004</v>
      </c>
      <c r="E46" s="466">
        <v>22.06</v>
      </c>
      <c r="F46" s="466">
        <v>23.72</v>
      </c>
      <c r="H46" s="522" t="str">
        <f t="shared" si="10"/>
        <v/>
      </c>
      <c r="I46" s="6" t="s">
        <v>73</v>
      </c>
      <c r="J46" s="492">
        <v>1025</v>
      </c>
      <c r="K46" s="460">
        <v>1220</v>
      </c>
      <c r="L46" s="481">
        <f t="shared" si="0"/>
        <v>195</v>
      </c>
      <c r="M46" s="463">
        <f t="shared" si="1"/>
        <v>0.19024390243902439</v>
      </c>
      <c r="N46" s="481">
        <f t="shared" si="9"/>
        <v>732</v>
      </c>
      <c r="O46" s="6"/>
      <c r="P46" s="522"/>
      <c r="Q46" s="6" t="s">
        <v>74</v>
      </c>
      <c r="R46" s="492">
        <v>1135</v>
      </c>
      <c r="S46" s="460">
        <v>1250</v>
      </c>
      <c r="T46" s="481">
        <f t="shared" si="2"/>
        <v>115</v>
      </c>
      <c r="U46" s="485">
        <f t="shared" si="3"/>
        <v>0.1013215859030837</v>
      </c>
      <c r="V46" s="464">
        <f t="shared" si="4"/>
        <v>750</v>
      </c>
      <c r="Y46" s="198" t="s">
        <v>73</v>
      </c>
      <c r="Z46" s="220" t="s">
        <v>17</v>
      </c>
      <c r="AA46" s="221" t="str">
        <f t="shared" si="5"/>
        <v>.833"  to  .916"</v>
      </c>
      <c r="AB46" s="220">
        <v>84</v>
      </c>
      <c r="AC46" s="222">
        <v>35</v>
      </c>
      <c r="AD46" s="224">
        <f t="shared" si="6"/>
        <v>1220</v>
      </c>
      <c r="AE46" s="35"/>
      <c r="AF46" s="198" t="s">
        <v>74</v>
      </c>
      <c r="AG46" s="221" t="s">
        <v>17</v>
      </c>
      <c r="AH46" s="221" t="str">
        <f t="shared" si="7"/>
        <v>22.06mm  to  23.72mm</v>
      </c>
      <c r="AI46" s="221">
        <v>84</v>
      </c>
      <c r="AJ46" s="222">
        <v>36</v>
      </c>
      <c r="AK46" s="224">
        <f t="shared" si="8"/>
        <v>1250</v>
      </c>
    </row>
    <row r="47" spans="2:37" x14ac:dyDescent="0.25">
      <c r="B47" s="465">
        <v>0.83350000000000002</v>
      </c>
      <c r="C47" s="465">
        <v>0.91649999999999998</v>
      </c>
      <c r="E47" s="466">
        <v>22.07</v>
      </c>
      <c r="F47" s="466">
        <v>23.73</v>
      </c>
      <c r="H47" s="522" t="str">
        <f t="shared" si="10"/>
        <v>M65</v>
      </c>
      <c r="I47" s="467" t="s">
        <v>75</v>
      </c>
      <c r="J47" s="493">
        <v>1030</v>
      </c>
      <c r="K47" s="468">
        <v>1240</v>
      </c>
      <c r="L47" s="482">
        <f t="shared" si="0"/>
        <v>210</v>
      </c>
      <c r="M47" s="470">
        <f t="shared" si="1"/>
        <v>0.20388349514563106</v>
      </c>
      <c r="N47" s="482">
        <f t="shared" si="9"/>
        <v>744</v>
      </c>
      <c r="O47" s="6"/>
      <c r="P47" s="522" t="str">
        <f>LEFT(Q47,LEN(Q47)-1)</f>
        <v>M71MM</v>
      </c>
      <c r="Q47" s="467" t="s">
        <v>76</v>
      </c>
      <c r="R47" s="493">
        <v>1145</v>
      </c>
      <c r="S47" s="468">
        <v>1270</v>
      </c>
      <c r="T47" s="482">
        <f t="shared" si="2"/>
        <v>125</v>
      </c>
      <c r="U47" s="486">
        <f t="shared" si="3"/>
        <v>0.1091703056768559</v>
      </c>
      <c r="V47" s="469">
        <f t="shared" si="4"/>
        <v>762</v>
      </c>
      <c r="Y47" s="497" t="s">
        <v>75</v>
      </c>
      <c r="Z47" s="498" t="s">
        <v>14</v>
      </c>
      <c r="AA47" s="498" t="str">
        <f t="shared" si="5"/>
        <v>.8335"  to  .9165"</v>
      </c>
      <c r="AB47" s="498">
        <v>84</v>
      </c>
      <c r="AC47" s="227">
        <v>35</v>
      </c>
      <c r="AD47" s="501">
        <f t="shared" si="6"/>
        <v>1240</v>
      </c>
      <c r="AE47" s="35"/>
      <c r="AF47" s="497" t="s">
        <v>76</v>
      </c>
      <c r="AG47" s="498" t="s">
        <v>14</v>
      </c>
      <c r="AH47" s="498" t="str">
        <f t="shared" si="7"/>
        <v>22.07mm  to  23.73mm</v>
      </c>
      <c r="AI47" s="498">
        <v>84</v>
      </c>
      <c r="AJ47" s="227">
        <v>36</v>
      </c>
      <c r="AK47" s="501">
        <f t="shared" si="8"/>
        <v>1270</v>
      </c>
    </row>
    <row r="48" spans="2:37" x14ac:dyDescent="0.25">
      <c r="B48" s="465">
        <v>0.83350000000000002</v>
      </c>
      <c r="C48" s="465">
        <v>0.91649999999999998</v>
      </c>
      <c r="E48" s="466">
        <v>22.07</v>
      </c>
      <c r="F48" s="466">
        <v>23.73</v>
      </c>
      <c r="H48" s="522" t="str">
        <f t="shared" si="10"/>
        <v/>
      </c>
      <c r="I48" s="471" t="s">
        <v>77</v>
      </c>
      <c r="J48" s="494">
        <v>1030</v>
      </c>
      <c r="K48" s="472">
        <v>1240</v>
      </c>
      <c r="L48" s="483">
        <f t="shared" si="0"/>
        <v>210</v>
      </c>
      <c r="M48" s="474">
        <f t="shared" si="1"/>
        <v>0.20388349514563106</v>
      </c>
      <c r="N48" s="483">
        <f t="shared" si="9"/>
        <v>744</v>
      </c>
      <c r="O48" s="6"/>
      <c r="P48" s="522"/>
      <c r="Q48" s="471" t="s">
        <v>78</v>
      </c>
      <c r="R48" s="494">
        <v>1145</v>
      </c>
      <c r="S48" s="472">
        <v>1270</v>
      </c>
      <c r="T48" s="483">
        <f t="shared" si="2"/>
        <v>125</v>
      </c>
      <c r="U48" s="487">
        <f t="shared" si="3"/>
        <v>0.1091703056768559</v>
      </c>
      <c r="V48" s="473">
        <f t="shared" si="4"/>
        <v>762</v>
      </c>
      <c r="Y48" s="229" t="s">
        <v>77</v>
      </c>
      <c r="Z48" s="230" t="s">
        <v>17</v>
      </c>
      <c r="AA48" s="231" t="str">
        <f t="shared" si="5"/>
        <v>.8335"  to  .9165"</v>
      </c>
      <c r="AB48" s="230">
        <v>84</v>
      </c>
      <c r="AC48" s="232">
        <v>35</v>
      </c>
      <c r="AD48" s="233">
        <f t="shared" si="6"/>
        <v>1240</v>
      </c>
      <c r="AE48" s="35"/>
      <c r="AF48" s="229" t="s">
        <v>78</v>
      </c>
      <c r="AG48" s="231" t="s">
        <v>17</v>
      </c>
      <c r="AH48" s="231" t="str">
        <f t="shared" si="7"/>
        <v>22.07mm  to  23.73mm</v>
      </c>
      <c r="AI48" s="231">
        <v>84</v>
      </c>
      <c r="AJ48" s="232">
        <v>36</v>
      </c>
      <c r="AK48" s="233">
        <f t="shared" si="8"/>
        <v>1270</v>
      </c>
    </row>
    <row r="49" spans="1:37" x14ac:dyDescent="0.25">
      <c r="B49" s="465">
        <v>0.91700000000000004</v>
      </c>
      <c r="C49" s="465">
        <v>1</v>
      </c>
      <c r="E49" s="466">
        <v>23.74</v>
      </c>
      <c r="F49" s="466">
        <v>25.4</v>
      </c>
      <c r="H49" s="522" t="str">
        <f t="shared" si="10"/>
        <v>M7</v>
      </c>
      <c r="I49" s="6" t="s">
        <v>79</v>
      </c>
      <c r="J49" s="492">
        <v>1075</v>
      </c>
      <c r="K49" s="460">
        <v>1260</v>
      </c>
      <c r="L49" s="481">
        <f t="shared" si="0"/>
        <v>185</v>
      </c>
      <c r="M49" s="463">
        <f t="shared" si="1"/>
        <v>0.17209302325581396</v>
      </c>
      <c r="N49" s="481">
        <f t="shared" si="9"/>
        <v>756</v>
      </c>
      <c r="O49" s="6"/>
      <c r="P49" s="522" t="str">
        <f>LEFT(Q49,LEN(Q49)-1)</f>
        <v>M8MM</v>
      </c>
      <c r="Q49" s="6" t="s">
        <v>80</v>
      </c>
      <c r="R49" s="492">
        <v>1170</v>
      </c>
      <c r="S49" s="460">
        <v>1280</v>
      </c>
      <c r="T49" s="481">
        <f t="shared" si="2"/>
        <v>110</v>
      </c>
      <c r="U49" s="485">
        <f t="shared" si="3"/>
        <v>9.4017094017094016E-2</v>
      </c>
      <c r="V49" s="464">
        <f t="shared" si="4"/>
        <v>768</v>
      </c>
      <c r="Y49" s="198" t="s">
        <v>79</v>
      </c>
      <c r="Z49" s="220" t="s">
        <v>14</v>
      </c>
      <c r="AA49" s="221" t="str">
        <f t="shared" si="5"/>
        <v>.917"  to  1.000"</v>
      </c>
      <c r="AB49" s="220">
        <v>84</v>
      </c>
      <c r="AC49" s="222">
        <v>41</v>
      </c>
      <c r="AD49" s="224">
        <f t="shared" si="6"/>
        <v>1260</v>
      </c>
      <c r="AE49" s="35"/>
      <c r="AF49" s="198" t="s">
        <v>80</v>
      </c>
      <c r="AG49" s="221" t="s">
        <v>14</v>
      </c>
      <c r="AH49" s="221" t="str">
        <f t="shared" si="7"/>
        <v>23.74mm  to  25.40mm</v>
      </c>
      <c r="AI49" s="221">
        <v>84</v>
      </c>
      <c r="AJ49" s="222">
        <v>41</v>
      </c>
      <c r="AK49" s="224">
        <f t="shared" si="8"/>
        <v>1280</v>
      </c>
    </row>
    <row r="50" spans="1:37" x14ac:dyDescent="0.25">
      <c r="B50" s="465">
        <v>0.91700000000000004</v>
      </c>
      <c r="C50" s="465">
        <v>1</v>
      </c>
      <c r="E50" s="466">
        <v>23.74</v>
      </c>
      <c r="F50" s="466">
        <v>25.4</v>
      </c>
      <c r="H50" s="522" t="str">
        <f t="shared" si="10"/>
        <v/>
      </c>
      <c r="I50" s="6" t="s">
        <v>81</v>
      </c>
      <c r="J50" s="492">
        <v>1075</v>
      </c>
      <c r="K50" s="460">
        <v>1260</v>
      </c>
      <c r="L50" s="481">
        <f t="shared" si="0"/>
        <v>185</v>
      </c>
      <c r="M50" s="463">
        <f t="shared" si="1"/>
        <v>0.17209302325581396</v>
      </c>
      <c r="N50" s="481">
        <f t="shared" si="9"/>
        <v>756</v>
      </c>
      <c r="O50" s="6"/>
      <c r="P50" s="522"/>
      <c r="Q50" s="6" t="s">
        <v>82</v>
      </c>
      <c r="R50" s="492">
        <v>1170</v>
      </c>
      <c r="S50" s="460">
        <v>1280</v>
      </c>
      <c r="T50" s="481">
        <f t="shared" si="2"/>
        <v>110</v>
      </c>
      <c r="U50" s="485">
        <f t="shared" si="3"/>
        <v>9.4017094017094016E-2</v>
      </c>
      <c r="V50" s="464">
        <f t="shared" si="4"/>
        <v>768</v>
      </c>
      <c r="Y50" s="198" t="s">
        <v>81</v>
      </c>
      <c r="Z50" s="220" t="s">
        <v>17</v>
      </c>
      <c r="AA50" s="221" t="str">
        <f t="shared" si="5"/>
        <v>.917"  to  1.000"</v>
      </c>
      <c r="AB50" s="220">
        <v>84</v>
      </c>
      <c r="AC50" s="222">
        <v>41</v>
      </c>
      <c r="AD50" s="224">
        <f t="shared" si="6"/>
        <v>1260</v>
      </c>
      <c r="AE50" s="35"/>
      <c r="AF50" s="198" t="s">
        <v>82</v>
      </c>
      <c r="AG50" s="221" t="s">
        <v>17</v>
      </c>
      <c r="AH50" s="221" t="str">
        <f t="shared" si="7"/>
        <v>23.74mm  to  25.40mm</v>
      </c>
      <c r="AI50" s="221">
        <v>84</v>
      </c>
      <c r="AJ50" s="222">
        <v>41</v>
      </c>
      <c r="AK50" s="224">
        <f t="shared" si="8"/>
        <v>1280</v>
      </c>
    </row>
    <row r="51" spans="1:37" x14ac:dyDescent="0.25">
      <c r="B51" s="465">
        <v>0.91749999999999998</v>
      </c>
      <c r="C51" s="465">
        <v>1.0004999999999999</v>
      </c>
      <c r="E51" s="466">
        <v>23.75</v>
      </c>
      <c r="F51" s="466">
        <v>25.41</v>
      </c>
      <c r="H51" s="522" t="str">
        <f t="shared" si="10"/>
        <v>M75</v>
      </c>
      <c r="I51" s="467" t="s">
        <v>83</v>
      </c>
      <c r="J51" s="493">
        <v>1080</v>
      </c>
      <c r="K51" s="468">
        <v>1280</v>
      </c>
      <c r="L51" s="482">
        <f t="shared" si="0"/>
        <v>200</v>
      </c>
      <c r="M51" s="470">
        <f t="shared" si="1"/>
        <v>0.18518518518518517</v>
      </c>
      <c r="N51" s="482">
        <f t="shared" si="9"/>
        <v>768</v>
      </c>
      <c r="O51" s="6"/>
      <c r="P51" s="522" t="str">
        <f>LEFT(Q51,LEN(Q51)-1)</f>
        <v>M81MM</v>
      </c>
      <c r="Q51" s="467" t="s">
        <v>84</v>
      </c>
      <c r="R51" s="493">
        <v>1175</v>
      </c>
      <c r="S51" s="468">
        <v>1300</v>
      </c>
      <c r="T51" s="482">
        <f t="shared" si="2"/>
        <v>125</v>
      </c>
      <c r="U51" s="486">
        <f t="shared" si="3"/>
        <v>0.10638297872340426</v>
      </c>
      <c r="V51" s="469">
        <f t="shared" si="4"/>
        <v>780</v>
      </c>
      <c r="Y51" s="497" t="s">
        <v>83</v>
      </c>
      <c r="Z51" s="498" t="s">
        <v>14</v>
      </c>
      <c r="AA51" s="498" t="str">
        <f t="shared" si="5"/>
        <v>.9175"  to  1.0005"</v>
      </c>
      <c r="AB51" s="498">
        <v>84</v>
      </c>
      <c r="AC51" s="227">
        <v>41</v>
      </c>
      <c r="AD51" s="501">
        <f t="shared" si="6"/>
        <v>1280</v>
      </c>
      <c r="AE51" s="35"/>
      <c r="AF51" s="497" t="s">
        <v>84</v>
      </c>
      <c r="AG51" s="498" t="s">
        <v>14</v>
      </c>
      <c r="AH51" s="498" t="str">
        <f t="shared" si="7"/>
        <v>23.75mm  to  25.41mm</v>
      </c>
      <c r="AI51" s="498">
        <v>84</v>
      </c>
      <c r="AJ51" s="227">
        <v>41</v>
      </c>
      <c r="AK51" s="501">
        <f t="shared" si="8"/>
        <v>1300</v>
      </c>
    </row>
    <row r="52" spans="1:37" ht="15.75" thickBot="1" x14ac:dyDescent="0.3">
      <c r="B52" s="465">
        <v>0.91749999999999998</v>
      </c>
      <c r="C52" s="465">
        <v>1.0004999999999999</v>
      </c>
      <c r="E52" s="466">
        <v>23.75</v>
      </c>
      <c r="F52" s="466">
        <v>25.41</v>
      </c>
      <c r="H52" s="522" t="str">
        <f t="shared" si="10"/>
        <v/>
      </c>
      <c r="I52" s="471" t="s">
        <v>85</v>
      </c>
      <c r="J52" s="494">
        <v>1080</v>
      </c>
      <c r="K52" s="472">
        <v>1280</v>
      </c>
      <c r="L52" s="483">
        <f t="shared" si="0"/>
        <v>200</v>
      </c>
      <c r="M52" s="474">
        <f t="shared" si="1"/>
        <v>0.18518518518518517</v>
      </c>
      <c r="N52" s="483">
        <f t="shared" si="9"/>
        <v>768</v>
      </c>
      <c r="O52" s="6"/>
      <c r="P52" s="522"/>
      <c r="Q52" s="471" t="s">
        <v>86</v>
      </c>
      <c r="R52" s="494">
        <v>1175</v>
      </c>
      <c r="S52" s="472">
        <v>1300</v>
      </c>
      <c r="T52" s="483">
        <f t="shared" si="2"/>
        <v>125</v>
      </c>
      <c r="U52" s="487">
        <f t="shared" si="3"/>
        <v>0.10638297872340426</v>
      </c>
      <c r="V52" s="473">
        <f t="shared" si="4"/>
        <v>780</v>
      </c>
      <c r="Y52" s="235" t="s">
        <v>85</v>
      </c>
      <c r="Z52" s="236" t="s">
        <v>17</v>
      </c>
      <c r="AA52" s="237" t="str">
        <f t="shared" si="5"/>
        <v>.9175"  to  1.0005"</v>
      </c>
      <c r="AB52" s="236">
        <v>84</v>
      </c>
      <c r="AC52" s="238">
        <v>41</v>
      </c>
      <c r="AD52" s="239">
        <f t="shared" si="6"/>
        <v>1280</v>
      </c>
      <c r="AE52" s="35"/>
      <c r="AF52" s="235" t="s">
        <v>86</v>
      </c>
      <c r="AG52" s="237" t="s">
        <v>17</v>
      </c>
      <c r="AH52" s="237" t="str">
        <f t="shared" si="7"/>
        <v>23.75mm  to  25.41mm</v>
      </c>
      <c r="AI52" s="237">
        <v>84</v>
      </c>
      <c r="AJ52" s="238">
        <v>41</v>
      </c>
      <c r="AK52" s="239">
        <f t="shared" si="8"/>
        <v>1300</v>
      </c>
    </row>
    <row r="53" spans="1:37" x14ac:dyDescent="0.25">
      <c r="B53" s="4"/>
      <c r="C53" s="4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</row>
    <row r="54" spans="1:37" x14ac:dyDescent="0.25">
      <c r="A54" s="50"/>
      <c r="B54" s="4"/>
      <c r="C54" s="4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</row>
    <row r="55" spans="1:37" x14ac:dyDescent="0.25">
      <c r="B55" s="4"/>
      <c r="C55" s="4"/>
    </row>
    <row r="56" spans="1:37" x14ac:dyDescent="0.25">
      <c r="B56" s="4"/>
      <c r="C56" s="4"/>
    </row>
    <row r="57" spans="1:37" x14ac:dyDescent="0.25">
      <c r="B57" s="4"/>
      <c r="C57" s="4"/>
    </row>
    <row r="58" spans="1:37" x14ac:dyDescent="0.25">
      <c r="B58" s="4"/>
      <c r="C58" s="4"/>
    </row>
    <row r="59" spans="1:37" x14ac:dyDescent="0.25">
      <c r="B59" s="4"/>
      <c r="C59" s="4"/>
    </row>
    <row r="60" spans="1:37" x14ac:dyDescent="0.25">
      <c r="B60" s="4"/>
      <c r="C60" s="4"/>
    </row>
  </sheetData>
  <sheetProtection algorithmName="SHA-512" hashValue="50MZA5wkJyz9ppI1/lxON7oSceOUznfjbI8L0i38B+F2GCI7Y2hpRKm226lpJ5n73uDd953zU7pzl+yjQ1Y+JA==" saltValue="Wz9i9Cy8mnP9FL6YRqlqlg==" spinCount="100000" sheet="1" objects="1" scenarios="1"/>
  <pageMargins left="0.25" right="0.25" top="0.75" bottom="0.75" header="0.3" footer="0.3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9</vt:i4>
      </vt:variant>
    </vt:vector>
  </HeadingPairs>
  <TitlesOfParts>
    <vt:vector size="37" baseType="lpstr">
      <vt:lpstr>Discount Groups</vt:lpstr>
      <vt:lpstr>TO DO LIST</vt:lpstr>
      <vt:lpstr>Ref</vt:lpstr>
      <vt:lpstr>Cover</vt:lpstr>
      <vt:lpstr>Calibration Services</vt:lpstr>
      <vt:lpstr>Calibration, Z Sets &amp; Libraries</vt:lpstr>
      <vt:lpstr>Calibration, X Sets &amp; Libraries</vt:lpstr>
      <vt:lpstr>Individual Pin Gages</vt:lpstr>
      <vt:lpstr>Class Z Sets</vt:lpstr>
      <vt:lpstr>Class Z Libraries</vt:lpstr>
      <vt:lpstr>Class X Sets</vt:lpstr>
      <vt:lpstr>Class X Libraries</vt:lpstr>
      <vt:lpstr>Class X MG-25 Series</vt:lpstr>
      <vt:lpstr>ASSY-PIN, SE (2)</vt:lpstr>
      <vt:lpstr>Go-NoGo Assemblies</vt:lpstr>
      <vt:lpstr>Class ZZ Custom-Length</vt:lpstr>
      <vt:lpstr>Class X Custom-Length</vt:lpstr>
      <vt:lpstr>Ring Gages</vt:lpstr>
      <vt:lpstr>Taperlocks </vt:lpstr>
      <vt:lpstr>Trilocks</vt:lpstr>
      <vt:lpstr>Progressives</vt:lpstr>
      <vt:lpstr>Master Setting Discs</vt:lpstr>
      <vt:lpstr>Pin Gage Handles</vt:lpstr>
      <vt:lpstr>Bushings v1</vt:lpstr>
      <vt:lpstr>Bushings</vt:lpstr>
      <vt:lpstr>Accessories</vt:lpstr>
      <vt:lpstr>Accessories (cont.)</vt:lpstr>
      <vt:lpstr>Black Ox</vt:lpstr>
      <vt:lpstr>'Individual Pin Gages'!PRICE_X_PIN</vt:lpstr>
      <vt:lpstr>'Individual Pin Gages'!PRICE_XX_PIN</vt:lpstr>
      <vt:lpstr>'Individual Pin Gages'!PRICE_Z_PIN</vt:lpstr>
      <vt:lpstr>'Individual Pin Gages'!X_INCH_PIN</vt:lpstr>
      <vt:lpstr>'Individual Pin Gages'!X_METRIC_PIN</vt:lpstr>
      <vt:lpstr>'Individual Pin Gages'!XX_INCH_PIN</vt:lpstr>
      <vt:lpstr>'Individual Pin Gages'!XX_METRIC_PIN</vt:lpstr>
      <vt:lpstr>'Individual Pin Gages'!Z_INCH_PIN</vt:lpstr>
      <vt:lpstr>'Individual Pin Gages'!Z_METRIC_PIN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Bryer</dc:creator>
  <cp:lastModifiedBy>Rachel Rolli</cp:lastModifiedBy>
  <cp:lastPrinted>2025-02-24T19:41:57Z</cp:lastPrinted>
  <dcterms:created xsi:type="dcterms:W3CDTF">2024-07-21T17:33:02Z</dcterms:created>
  <dcterms:modified xsi:type="dcterms:W3CDTF">2025-02-27T12:43:27Z</dcterms:modified>
</cp:coreProperties>
</file>